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492"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<sst xmlns="http://schemas.openxmlformats.org/spreadsheetml/2006/main" count="3701" uniqueCount="2995">
  <si>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</si>
  <si>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</si>
  <si>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</si>
  <si>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</si>
  <si>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</si>
  <si>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</si>
  <si>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</si>
  <si>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</si>
  <si>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</si>
  <si>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</si>
  <si>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</si>
  <si>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</si>
  <si>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</si>
  <si>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</si>
  <si>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</si>
  <si>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</si>
  <si>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</si>
  <si>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</si>
  <si>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</si>
  <si>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</si>
  <si>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</si>
  <si>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</si>
  <si>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</si>
  <si>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</si>
  <si>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</si>
  <si>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</si>
  <si>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</si>
  <si>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</si>
  <si>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</si>
  <si>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</si>
  <si>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</si>
  <si>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</si>
  <si>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</si>
  <si>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</si>
  <si>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</si>
  <si>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</si>
  <si>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</si>
  <si>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</si>
  <si>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</si>
  <si>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</si>
  <si>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</si>
  <si>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</si>
  <si>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</si>
  <si>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</si>
  <si>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</si>
  <si>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</si>
  <si>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</si>
  <si>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</si>
  <si>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</si>
  <si>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</si>
  <si>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</si>
  <si>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</si>
  <si>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</si>
  <si>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</si>
  <si>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</si>
  <si>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</si>
  <si>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</si>
  <si>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</si>
  <si>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</si>
  <si>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</si>
  <si>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</si>
  <si>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</si>
  <si>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</si>
  <si>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</si>
  <si>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</si>
  <si>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</si>
  <si>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</si>
  <si>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</si>
  <si>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</si>
  <si>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</si>
  <si>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</si>
  <si>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</si>
  <si>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</si>
  <si>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</si>
  <si>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</si>
  <si>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</si>
  <si>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</si>
  <si>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</si>
  <si>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</si>
  <si>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</si>
  <si>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</si>
  <si>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</si>
  <si>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</si>
  <si>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</si>
  <si>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</si>
  <si>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</si>
  <si>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</si>
  <si>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</si>
  <si>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</si>
  <si>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</si>
  <si>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</si>
  <si>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</si>
  <si>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</si>
  <si>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</si>
  <si>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</si>
  <si>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</si>
  <si>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</si>
  <si>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</si>
  <si>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</si>
  <si>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</si>
  <si>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</si>
  <si>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</si>
  <si>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</si>
  <si>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</si>
  <si>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</si>
  <si>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</si>
  <si>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</si>
  <si>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</si>
  <si>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</si>
  <si>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</si>
  <si>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</si>
  <si>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</si>
  <si>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</si>
  <si>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</si>
  <si>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</si>
  <si>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</si>
  <si>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</si>
  <si>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</si>
  <si>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</si>
  <si>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</si>
  <si>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</si>
  <si>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</si>
  <si>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</si>
  <si>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</si>
  <si>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</si>
  <si>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</si>
  <si>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</si>
  <si>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</si>
  <si>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</si>
  <si>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</si>
  <si>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</si>
  <si>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</si>
  <si>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</si>
  <si>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</si>
  <si>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</si>
  <si>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</si>
  <si>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</si>
  <si>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</si>
  <si>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</si>
  <si>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</si>
  <si>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</si>
  <si>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</si>
  <si>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</si>
  <si>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</si>
  <si>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</si>
  <si>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</si>
  <si>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</si>
  <si>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</si>
  <si>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</si>
  <si>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</si>
  <si>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</si>
  <si>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</si>
  <si>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</si>
  <si>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</si>
  <si>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</si>
  <si>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</si>
  <si>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</si>
  <si>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</si>
  <si>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</si>
  <si>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</si>
  <si>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</si>
  <si>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</si>
  <si>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</si>
  <si>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</si>
  <si>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</si>
  <si>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</si>
  <si>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</si>
  <si>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</si>
  <si>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</si>
  <si>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</si>
  <si>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</si>
  <si>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</si>
  <si>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</si>
  <si>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</si>
  <si>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</si>
  <si>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</si>
  <si>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</si>
  <si>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</si>
  <si>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</si>
  <si>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</si>
  <si>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</si>
  <si>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</si>
  <si>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</si>
  <si>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</si>
  <si>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</si>
  <si>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</si>
  <si>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</si>
  <si>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</si>
  <si>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</si>
  <si>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</si>
  <si>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</si>
  <si>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</si>
  <si>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</si>
  <si>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</si>
  <si>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</si>
  <si>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</si>
  <si>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</si>
  <si>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</si>
  <si>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</si>
  <si>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</si>
  <si>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</si>
  <si>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</si>
  <si>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</si>
  <si>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</si>
  <si>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</si>
  <si>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</si>
  <si>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</si>
  <si>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</si>
  <si>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</si>
  <si>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</si>
  <si>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</si>
  <si>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</si>
  <si>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</si>
  <si>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</si>
  <si>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</si>
  <si>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</si>
  <si>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</si>
  <si>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</si>
  <si>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</si>
  <si>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</si>
  <si>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</si>
  <si>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</si>
  <si>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</si>
  <si>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</si>
  <si>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</si>
  <si>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</si>
  <si>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</si>
  <si>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</si>
  <si>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</si>
  <si>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</si>
  <si>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</si>
  <si>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</si>
  <si>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</si>
  <si>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</si>
  <si>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</si>
  <si>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</si>
  <si>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</si>
  <si>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</si>
  <si>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</si>
  <si>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</si>
  <si>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</si>
  <si>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</si>
  <si>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</si>
  <si>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</si>
  <si>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</si>
  <si>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</si>
  <si>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</si>
  <si>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</si>
  <si>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</si>
  <si>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</si>
  <si>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</si>
  <si>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</si>
  <si>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</si>
  <si>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</si>
  <si>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</si>
  <si>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</si>
  <si>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</si>
  <si>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</si>
  <si>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</si>
  <si>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</si>
  <si>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</si>
  <si>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</si>
  <si>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</si>
  <si>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</si>
  <si>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</si>
  <si>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</si>
  <si>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</si>
  <si>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</si>
  <si>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</si>
  <si>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</si>
  <si>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</si>
  <si>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</si>
  <si>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</si>
  <si>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</si>
  <si>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</si>
  <si>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</si>
  <si>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</si>
  <si>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</si>
  <si>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</si>
  <si>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</si>
  <si>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</si>
  <si>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</si>
  <si>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</si>
  <si>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</si>
  <si>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</si>
  <si>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</si>
  <si>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</si>
  <si>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</si>
  <si>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</si>
  <si>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</si>
  <si>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</si>
  <si>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</si>
  <si>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</si>
  <si>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</si>
  <si>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</si>
  <si>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</si>
  <si>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</si>
  <si>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</si>
  <si>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</si>
  <si>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</si>
  <si>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</si>
  <si>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</si>
  <si>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</si>
  <si>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</si>
  <si>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</si>
  <si>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</si>
  <si>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</si>
  <si>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</si>
  <si>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</si>
  <si>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</si>
  <si>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</si>
  <si>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</si>
  <si>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</si>
  <si>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</si>
  <si>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</si>
  <si>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</si>
  <si>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</si>
  <si>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</si>
  <si>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</si>
  <si>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</si>
  <si>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</si>
  <si>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</si>
  <si>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</si>
  <si>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</si>
  <si>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</si>
  <si>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</si>
  <si>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</si>
  <si>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</si>
  <si>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</si>
  <si>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</si>
  <si>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</si>
  <si>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</si>
  <si>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</si>
  <si>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</si>
  <si>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</si>
  <si>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</si>
  <si>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</si>
  <si>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</si>
  <si>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</si>
  <si>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</si>
  <si>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</si>
  <si>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</si>
  <si>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</si>
  <si>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</si>
  <si>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</si>
  <si>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</si>
  <si>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</si>
  <si>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</si>
  <si>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</si>
  <si>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</si>
  <si>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</si>
  <si>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</si>
  <si>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</si>
  <si>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</si>
  <si>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</si>
  <si>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</si>
  <si>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</si>
  <si>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</si>
  <si>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</si>
  <si>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</si>
  <si>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</si>
  <si>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</si>
  <si>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</si>
  <si>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</si>
  <si>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</si>
  <si>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</si>
  <si>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</si>
  <si>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</si>
  <si>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</si>
  <si>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</si>
  <si>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</si>
  <si>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</si>
  <si>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</si>
  <si>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</si>
  <si>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</si>
  <si>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</si>
  <si>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</si>
  <si>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</si>
  <si>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</si>
  <si>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</si>
  <si>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</si>
  <si>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</si>
  <si>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</si>
  <si>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</si>
  <si>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</si>
  <si>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</si>
  <si>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</si>
  <si>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</si>
  <si>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</si>
  <si>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</si>
  <si>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</si>
  <si>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</si>
  <si>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</si>
  <si>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</si>
  <si>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</si>
  <si>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</si>
  <si>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</si>
  <si>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</si>
  <si>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</si>
  <si>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</si>
  <si>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</si>
  <si>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</si>
  <si>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</si>
  <si>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</si>
  <si>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</si>
  <si>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</si>
  <si>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</si>
  <si>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</si>
  <si>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</si>
  <si>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</si>
  <si>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</si>
  <si>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</si>
  <si>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</si>
  <si>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</si>
  <si>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</si>
  <si>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</si>
  <si>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</si>
  <si>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</si>
  <si>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</si>
  <si>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</si>
  <si>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</si>
  <si>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</si>
  <si>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</si>
  <si>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</si>
  <si>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</si>
  <si>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</si>
  <si>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</si>
  <si>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</si>
  <si>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</si>
  <si>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</si>
  <si>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</si>
  <si>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</si>
  <si>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</si>
  <si>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</si>
  <si>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</si>
  <si>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</si>
  <si>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</si>
  <si>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</si>
  <si>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</si>
  <si>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</si>
  <si>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</si>
  <si>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</si>
  <si>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</si>
  <si>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</si>
  <si>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</si>
  <si>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</si>
  <si>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</si>
  <si>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</si>
  <si>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</si>
  <si>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</si>
  <si>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</si>
  <si>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</si>
  <si>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</si>
  <si>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</si>
  <si>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</si>
  <si>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</si>
  <si>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</si>
  <si>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</si>
  <si>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</si>
  <si>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</si>
  <si>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</si>
  <si>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</si>
  <si>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</si>
  <si>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</si>
  <si>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</si>
  <si>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</si>
  <si>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</si>
  <si>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</si>
  <si>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</si>
  <si>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</si>
  <si>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</si>
  <si>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</si>
  <si>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</si>
  <si>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</si>
  <si>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</si>
  <si>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</si>
  <si>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</si>
  <si>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</si>
  <si>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</si>
  <si>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</si>
  <si>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</si>
  <si>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</si>
  <si>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</si>
  <si>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</si>
  <si>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</si>
  <si>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</si>
  <si>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</si>
  <si>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</si>
  <si>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</si>
  <si>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</si>
  <si>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</si>
  <si>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</si>
  <si>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</si>
  <si>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</si>
  <si>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</si>
  <si>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</si>
  <si>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</si>
  <si>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</si>
  <si>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</si>
  <si>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</si>
  <si>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</si>
  <si>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</si>
  <si>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</si>
  <si>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</si>
  <si>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</si>
  <si>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</si>
  <si>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</si>
  <si>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</si>
  <si>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</si>
  <si>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</si>
  <si>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</si>
  <si>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</si>
  <si>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</si>
  <si>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</si>
  <si>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</si>
  <si>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</si>
  <si>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</si>
  <si>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</si>
  <si>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</si>
  <si>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</si>
  <si>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</si>
  <si>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</si>
  <si>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</si>
  <si>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</si>
  <si>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</si>
  <si>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</si>
  <si>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</si>
  <si>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</si>
  <si>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</si>
  <si>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</si>
  <si>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</si>
  <si>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</si>
  <si>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</si>
  <si>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</si>
  <si>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</si>
  <si>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</si>
  <si>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</si>
  <si>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</si>
  <si>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</si>
  <si>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</si>
  <si>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</si>
  <si>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</si>
  <si>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</si>
  <si>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</si>
  <si>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</si>
  <si>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</si>
  <si>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</si>
  <si>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</si>
  <si>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</si>
  <si>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</si>
  <si>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</si>
  <si>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</si>
  <si>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</si>
  <si>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</si>
  <si>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</si>
  <si>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</si>
  <si>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</si>
  <si>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</si>
  <si>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</si>
  <si>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</si>
  <si>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</si>
  <si>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</si>
  <si>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</si>
  <si>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</si>
  <si>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</si>
  <si>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</si>
  <si>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</si>
  <si>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</si>
  <si>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</si>
  <si>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</si>
  <si>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</si>
  <si>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</si>
  <si>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</si>
  <si>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</si>
  <si>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</si>
  <si>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</si>
  <si>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</si>
  <si>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</si>
  <si>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</si>
  <si>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</si>
  <si>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</si>
  <si>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</si>
  <si>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</si>
  <si>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</si>
  <si>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</si>
  <si>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</si>
  <si>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</si>
  <si>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</si>
  <si>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</si>
  <si>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</si>
  <si>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</si>
  <si>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</si>
  <si>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</si>
  <si>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</si>
  <si>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</si>
  <si>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</si>
  <si>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</si>
  <si>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</si>
  <si>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</si>
  <si>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</si>
  <si>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</si>
  <si>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</si>
  <si>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</si>
  <si>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</si>
  <si>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</si>
  <si>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</si>
  <si>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</si>
  <si>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</si>
  <si>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</si>
  <si>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</si>
  <si>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</si>
  <si>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</si>
  <si>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</si>
  <si>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</si>
  <si>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</si>
  <si>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</si>
  <si>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</si>
  <si>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</si>
  <si>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</si>
  <si>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</si>
  <si>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</si>
  <si>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</si>
  <si>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</si>
  <si>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</si>
  <si>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</si>
  <si>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</si>
  <si>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</si>
  <si>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</si>
  <si>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</si>
  <si>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</si>
  <si>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</si>
  <si>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</si>
  <si>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</si>
  <si>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</si>
  <si>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</si>
  <si>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</si>
  <si>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</si>
  <si>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</si>
  <si>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</si>
  <si>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</si>
  <si>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</si>
  <si>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</si>
  <si>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</si>
  <si>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</si>
  <si>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</si>
  <si>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</si>
  <si>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</si>
  <si>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</si>
  <si>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</si>
  <si>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</si>
  <si>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</si>
  <si>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</si>
  <si>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</si>
  <si>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</si>
  <si>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</si>
  <si>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</si>
  <si>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</si>
  <si>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</si>
  <si>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</si>
  <si>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</si>
  <si>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</si>
  <si>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</si>
  <si>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</si>
  <si>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</si>
  <si>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</si>
  <si>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</si>
  <si>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</si>
  <si>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</si>
  <si>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</si>
  <si>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</si>
  <si>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</si>
  <si>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</si>
  <si>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</si>
  <si>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</si>
  <si>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</si>
  <si>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</si>
  <si>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</si>
  <si>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</si>
  <si>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</si>
  <si>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</si>
  <si>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</si>
  <si>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</si>
  <si>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</si>
  <si>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</si>
  <si>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</si>
  <si>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</si>
  <si>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</si>
  <si>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</si>
  <si>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</si>
  <si>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</si>
  <si>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</si>
  <si>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</si>
  <si>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</si>
  <si>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</si>
  <si>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</si>
  <si>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</si>
  <si>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</si>
  <si>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</si>
  <si>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</si>
  <si>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</si>
  <si>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</si>
  <si>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</si>
  <si>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</si>
  <si>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</si>
  <si>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</si>
  <si>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</si>
  <si>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</si>
  <si>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</si>
  <si>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</si>
  <si>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</si>
  <si>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</si>
  <si>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</si>
  <si>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</si>
  <si>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</si>
  <si>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</si>
  <si>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</si>
  <si>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</si>
  <si>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</si>
  <si>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</si>
  <si>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</si>
  <si>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</si>
  <si>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</si>
  <si>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</si>
  <si>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</si>
  <si>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</si>
  <si>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</si>
  <si>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</si>
  <si>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</si>
  <si>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</si>
  <si>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</si>
  <si>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</si>
  <si>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</si>
  <si>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</si>
  <si>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</si>
  <si>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</si>
  <si>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</si>
  <si>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</si>
  <si>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</si>
  <si>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</si>
  <si>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</si>
  <si>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</si>
  <si>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</si>
  <si>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</si>
  <si>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</si>
  <si>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</si>
  <si>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</si>
  <si>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</si>
  <si>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</si>
  <si>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</si>
  <si>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</si>
  <si>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</si>
  <si>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</si>
  <si>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</si>
  <si>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</si>
  <si>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</si>
  <si>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</si>
  <si>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</si>
  <si>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</si>
  <si>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</si>
  <si>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</si>
  <si>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</si>
  <si>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</si>
  <si>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</si>
  <si>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</si>
  <si>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</si>
  <si>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</si>
  <si>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</si>
  <si>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</si>
  <si>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</si>
  <si>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</si>
  <si>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</si>
  <si>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</si>
  <si>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</si>
  <si>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</si>
  <si>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</si>
  <si>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</si>
  <si>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</si>
  <si>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</si>
  <si>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</si>
  <si>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</si>
  <si>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</si>
  <si>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</si>
  <si>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</si>
  <si>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</si>
  <si>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</si>
  <si>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</si>
  <si>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</si>
  <si>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</si>
  <si>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</si>
  <si>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</si>
  <si>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</si>
  <si>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</si>
  <si>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</si>
  <si>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</si>
  <si>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</si>
  <si>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</si>
  <si>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</si>
  <si>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</si>
  <si>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</si>
  <si>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</si>
  <si>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</si>
  <si>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</si>
  <si>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</si>
  <si>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</si>
  <si>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</si>
  <si>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</si>
  <si>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</si>
  <si>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</si>
  <si>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</si>
  <si>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</si>
  <si>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</si>
  <si>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</si>
  <si>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</si>
  <si>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</si>
  <si>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</si>
  <si>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</si>
  <si>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</si>
  <si>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</si>
  <si>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</si>
  <si>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</si>
  <si>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</si>
  <si>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</si>
  <si>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</si>
  <si>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</si>
  <si>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</si>
  <si>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</si>
  <si>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</si>
  <si>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</si>
  <si>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</si>
  <si>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</si>
  <si>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</si>
  <si>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</si>
  <si>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</si>
  <si>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</si>
  <si>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</si>
  <si>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</si>
  <si>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</si>
  <si>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</si>
  <si>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</si>
  <si>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</si>
  <si>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</si>
  <si>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</si>
  <si>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</si>
  <si>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</si>
  <si>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</si>
  <si>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</si>
  <si>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</si>
  <si>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</si>
  <si>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</si>
  <si>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</si>
  <si>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</si>
  <si>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</si>
  <si>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</si>
  <si>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</si>
  <si>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</si>
  <si>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</si>
  <si>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</si>
  <si>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</si>
  <si>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</si>
  <si>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</si>
  <si>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</si>
  <si>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</si>
  <si>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</si>
  <si>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</si>
  <si>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</si>
  <si>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</si>
  <si>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</si>
  <si>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</si>
  <si>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</si>
  <si>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</si>
  <si>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</si>
  <si>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</si>
  <si>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</si>
  <si>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</si>
  <si>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</si>
  <si>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</si>
  <si>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</si>
  <si>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</si>
  <si>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</si>
  <si>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</si>
  <si>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</si>
  <si>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</si>
  <si>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</si>
  <si>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</si>
  <si>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</si>
  <si>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</si>
  <si>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</si>
  <si>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</si>
  <si>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</si>
  <si>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</si>
  <si>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</si>
  <si>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</si>
  <si>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</si>
  <si>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</si>
  <si>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</si>
  <si>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</si>
  <si>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</si>
  <si>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</si>
  <si>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</si>
  <si>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</si>
  <si>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</si>
  <si>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</si>
  <si>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</si>
  <si>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</si>
  <si>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</si>
  <si>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</si>
  <si>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</si>
  <si>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</si>
  <si>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</si>
  <si>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</si>
  <si>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</si>
  <si>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</si>
  <si>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</si>
  <si>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</si>
  <si>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</si>
  <si>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</si>
  <si>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</si>
  <si>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</si>
  <si>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</si>
  <si>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</si>
  <si>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</si>
  <si>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</si>
  <si>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</si>
  <si>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</si>
  <si>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</si>
  <si>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</si>
  <si>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</si>
  <si>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</si>
  <si>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</si>
  <si>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</si>
  <si>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</si>
  <si>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</si>
  <si>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</si>
  <si>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</si>
  <si>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</si>
  <si>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</si>
  <si>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</si>
  <si>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</si>
  <si>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</si>
  <si>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</si>
  <si>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</si>
  <si>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</si>
  <si>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</si>
  <si>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</si>
  <si>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</si>
  <si>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</si>
  <si>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</si>
  <si>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</si>
  <si>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</si>
  <si>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</si>
  <si>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</si>
  <si>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</si>
  <si>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</si>
  <si>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</si>
  <si>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</si>
  <si>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</si>
  <si>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</si>
  <si>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</si>
  <si>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</si>
  <si>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</si>
  <si>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</si>
  <si>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</si>
  <si>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</si>
  <si>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</si>
  <si>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</si>
  <si>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</si>
  <si>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</si>
  <si>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</si>
  <si>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</si>
  <si>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</si>
  <si>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</si>
  <si>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</si>
  <si>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</si>
  <si>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</si>
  <si>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</si>
  <si>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</si>
  <si>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</si>
  <si>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</si>
  <si>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</si>
  <si>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</si>
  <si>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</si>
  <si>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</si>
  <si>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</si>
  <si>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</si>
  <si>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</si>
  <si>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</si>
  <si>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</si>
  <si>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</si>
  <si>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</si>
  <si>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</si>
  <si>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</si>
  <si>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</si>
  <si>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</si>
  <si>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</si>
  <si>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</si>
  <si>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</si>
  <si>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</si>
  <si>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</si>
  <si>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</si>
  <si>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</si>
  <si>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</si>
  <si>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</si>
  <si>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</si>
  <si>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</si>
  <si>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</si>
  <si>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</si>
  <si>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</si>
  <si>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</si>
  <si>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</si>
  <si>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</si>
  <si>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</si>
  <si>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</si>
  <si>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</si>
  <si>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</si>
  <si>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</si>
  <si>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</si>
  <si>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</si>
  <si>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</si>
  <si>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</si>
  <si>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</si>
  <si>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</si>
  <si>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</si>
  <si>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</si>
  <si>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</si>
  <si>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</si>
  <si>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</si>
  <si>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</si>
  <si>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</si>
  <si>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</si>
  <si>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</si>
  <si>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</si>
  <si>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</si>
  <si>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</si>
  <si>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</si>
  <si>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</si>
  <si>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</si>
  <si>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</si>
  <si>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</si>
  <si>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</si>
  <si>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</si>
  <si>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</si>
  <si>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</si>
  <si>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</si>
  <si>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</si>
  <si>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</si>
  <si>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</si>
  <si>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</si>
  <si>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</si>
  <si>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</si>
  <si>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</si>
  <si>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</si>
  <si>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</si>
  <si>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</si>
  <si>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</si>
  <si>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</si>
  <si>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</si>
  <si>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</si>
  <si>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</si>
  <si>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</si>
  <si>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</si>
  <si>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</si>
  <si>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</si>
  <si>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</si>
  <si>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</si>
  <si>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</si>
  <si>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</si>
  <si>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</si>
  <si>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</si>
  <si>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</si>
  <si>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</si>
  <si>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</si>
  <si>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</si>
  <si>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</si>
  <si>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</si>
  <si>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</si>
  <si>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</si>
  <si>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</si>
  <si>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</si>
  <si>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</si>
  <si>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</si>
  <si>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</si>
  <si>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</si>
  <si>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</si>
  <si>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</si>
  <si>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</si>
  <si>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</si>
  <si>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</si>
  <si>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</si>
  <si>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</si>
  <si>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</si>
  <si>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</si>
  <si>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</si>
  <si>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</si>
  <si>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</si>
  <si>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</si>
  <si>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</si>
  <si>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</si>
  <si>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</si>
  <si>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</si>
  <si>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</si>
  <si>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</si>
  <si>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</si>
  <si>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</si>
  <si>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</si>
  <si>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</si>
  <si>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</si>
  <si>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</si>
  <si>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</si>
  <si>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</si>
  <si>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</si>
  <si>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</si>
  <si>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</si>
  <si>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</si>
  <si>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</si>
  <si>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</si>
  <si>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</si>
  <si>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</si>
  <si>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</si>
  <si>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</si>
  <si>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</si>
  <si>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</si>
  <si>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</si>
  <si>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</si>
  <si>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</si>
  <si>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</si>
  <si>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</si>
  <si>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</si>
  <si>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</si>
  <si>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</si>
  <si>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</si>
  <si>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</si>
  <si>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</si>
  <si>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</si>
  <si>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</si>
  <si>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</si>
  <si>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</si>
  <si>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</si>
  <si>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</si>
  <si>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</si>
  <si>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</si>
  <si>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</si>
  <si>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</si>
  <si>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</si>
  <si>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</si>
  <si>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</si>
  <si>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</si>
  <si>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</si>
  <si>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</si>
  <si>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</si>
  <si>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</si>
  <si>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</si>
  <si>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</si>
  <si>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</si>
  <si>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</si>
  <si>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</si>
  <si>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</si>
  <si>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</si>
  <si>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</si>
  <si>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</si>
  <si>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</si>
  <si>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</si>
  <si>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</si>
  <si>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</si>
  <si>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</si>
  <si>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</si>
  <si>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</si>
  <si>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</si>
  <si>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</si>
  <si>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</si>
  <si>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</si>
  <si>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</si>
  <si>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</si>
  <si>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</si>
  <si>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</si>
  <si>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</si>
  <si>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</si>
  <si>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</si>
  <si>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</si>
  <si>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</si>
  <si>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</si>
  <si>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</si>
  <si>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</si>
  <si>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</si>
  <si>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</si>
  <si>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</si>
  <si>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</si>
  <si>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</si>
  <si>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</si>
  <si>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</si>
  <si>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</si>
  <si>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</si>
  <si>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</si>
  <si>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</si>
  <si>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</si>
  <si>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</si>
  <si>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</si>
  <si>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</si>
  <si>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</si>
  <si>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</si>
  <si>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</si>
  <si>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</si>
  <si>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</si>
  <si>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</si>
  <si>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</si>
  <si>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</si>
  <si>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</si>
  <si>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</si>
  <si>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</si>
  <si>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</si>
  <si>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</si>
  <si>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</si>
  <si>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</si>
  <si>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</si>
  <si>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</si>
  <si>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</si>
  <si>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</si>
  <si>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</si>
  <si>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</si>
  <si>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</si>
  <si>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</si>
  <si>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</si>
  <si>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</si>
  <si>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</si>
  <si>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</si>
  <si>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</si>
  <si>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</si>
  <si>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</si>
  <si>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</si>
  <si>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</si>
  <si>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</si>
  <si>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</si>
  <si>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</si>
  <si>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</si>
  <si>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</si>
  <si>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</si>
  <si>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</si>
  <si>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</si>
  <si>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</si>
  <si>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</si>
  <si>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</si>
  <si>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</si>
  <si>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</si>
  <si>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</si>
  <si>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</si>
  <si>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</si>
  <si>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</si>
  <si>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</si>
  <si>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</si>
  <si>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</si>
  <si>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</si>
  <si>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</si>
  <si>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</si>
  <si>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</si>
  <si>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</si>
  <si>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</si>
  <si>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</si>
  <si>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</si>
  <si>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</si>
  <si>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</si>
  <si>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</si>
  <si>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</si>
  <si>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</si>
  <si>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</si>
  <si>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</si>
  <si>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</si>
  <si>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</si>
  <si>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</si>
  <si>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</si>
  <si>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</si>
  <si>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</si>
  <si>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</si>
  <si>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</si>
  <si>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</si>
  <si>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</si>
  <si>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</si>
  <si>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</si>
  <si>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</si>
  <si>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</si>
  <si>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</si>
  <si>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</si>
  <si>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</si>
  <si>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</si>
  <si>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</si>
  <si>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</si>
  <si>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</si>
  <si>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</si>
  <si>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</si>
  <si>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</si>
  <si>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</si>
  <si>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</si>
  <si>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</si>
  <si>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</si>
  <si>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</si>
  <si>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</si>
  <si>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</si>
  <si>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</si>
  <si>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</si>
  <si>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</si>
  <si>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</si>
  <si>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</si>
  <si>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</si>
  <si>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</si>
  <si>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</si>
  <si>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</si>
  <si>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</si>
  <si>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</si>
  <si>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</si>
  <si>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</si>
  <si>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</si>
  <si>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</si>
  <si>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</si>
  <si>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</si>
  <si>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</si>
  <si>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</si>
  <si>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</si>
  <si>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</si>
  <si>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</si>
  <si>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</si>
  <si>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</si>
  <si>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</si>
  <si>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</si>
  <si>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</si>
  <si>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</si>
  <si>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</si>
  <si>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</si>
  <si>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</si>
  <si>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</si>
  <si>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</si>
  <si>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</si>
  <si>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</si>
  <si>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</si>
  <si>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</si>
  <si>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</si>
  <si>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</si>
  <si>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</si>
  <si>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</si>
  <si>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</si>
  <si>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</si>
  <si>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</si>
  <si>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</si>
  <si>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</si>
  <si>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</si>
  <si>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</si>
  <si>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</si>
  <si>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</si>
  <si>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</si>
  <si>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</si>
  <si>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</si>
  <si>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</si>
  <si>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</si>
  <si>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</si>
  <si>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</si>
  <si>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</si>
  <si>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</si>
  <si>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</si>
  <si>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</si>
  <si>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</si>
  <si>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</si>
  <si>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</si>
  <si>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</si>
  <si>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</si>
  <si>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</si>
  <si>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</si>
  <si>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</si>
  <si>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</si>
  <si>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</si>
  <si>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</si>
  <si>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</si>
  <si>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</si>
  <si>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</si>
  <si>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</si>
  <si>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</si>
  <si>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</si>
  <si>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</si>
  <si>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</si>
  <si>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</si>
  <si>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</si>
  <si>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</si>
  <si>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</si>
  <si>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</si>
  <si>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</si>
  <si>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</si>
  <si>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</si>
  <si>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</si>
  <si>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</si>
  <si>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</si>
  <si>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</si>
  <si>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</si>
  <si>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</si>
  <si>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</si>
  <si>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</si>
  <si>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</si>
  <si>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</si>
  <si>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</si>
  <si>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</si>
  <si>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</si>
  <si>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</si>
  <si>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</si>
  <si>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</si>
  <si>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</si>
  <si>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</si>
  <si>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</si>
  <si>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</si>
  <si>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</si>
  <si>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</si>
  <si>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</si>
  <si>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</si>
  <si>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</si>
  <si>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</si>
  <si>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</si>
  <si>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</si>
  <si>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</si>
  <si>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</si>
  <si>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</si>
  <si>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</si>
  <si>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</si>
  <si>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</si>
  <si>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</si>
  <si>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</si>
  <si>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</si>
  <si>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</si>
  <si>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</si>
  <si>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</si>
  <si>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</si>
  <si>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</si>
  <si>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</si>
  <si>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</si>
  <si>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</si>
  <si>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</si>
  <si>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</si>
  <si>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</si>
  <si>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</si>
  <si>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</si>
  <si>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</si>
  <si>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</si>
  <si>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</si>
  <si>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</si>
  <si>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</si>
  <si>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</si>
  <si>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</si>
  <si>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</si>
  <si>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</si>
  <si>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</si>
  <si>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</si>
  <si>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</si>
  <si>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</si>
  <si>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</si>
  <si>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</si>
  <si>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</si>
  <si>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</si>
  <si>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</si>
  <si>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</si>
  <si>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</si>
  <si>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</si>
  <si>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</si>
  <si>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</si>
  <si>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</si>
  <si>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</si>
  <si>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</si>
  <si>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</si>
  <si>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</si>
  <si>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</si>
  <si>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</si>
  <si>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</si>
  <si>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</si>
  <si>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</si>
  <si>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</si>
  <si>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</si>
  <si>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</si>
  <si>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</si>
  <si>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</si>
  <si>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</si>
  <si>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</si>
  <si>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</si>
  <si>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</si>
  <si>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</si>
  <si>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</si>
  <si>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</si>
  <si>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</si>
  <si>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</si>
  <si>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</si>
  <si>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</si>
  <si>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</si>
  <si>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</si>
  <si>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</si>
  <si>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</si>
  <si>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</si>
  <si>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</si>
  <si>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</si>
  <si>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</si>
  <si>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</si>
  <si>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</si>
  <si>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</si>
  <si>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</si>
  <si>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</si>
  <si>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</si>
  <si>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</si>
  <si>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</si>
  <si>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</si>
  <si>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</si>
  <si>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</si>
  <si>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</si>
  <si>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</si>
  <si>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</si>
  <si>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</si>
  <si>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</si>
  <si>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</si>
  <si>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</si>
  <si>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</si>
  <si>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</si>
  <si>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</si>
  <si>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</si>
  <si>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</si>
  <si>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</si>
  <si>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</si>
  <si>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</si>
  <si>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</si>
  <si>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</si>
  <si>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</si>
  <si>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</si>
  <si>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</si>
  <si>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</si>
  <si>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</si>
  <si>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</si>
  <si>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</si>
  <si>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</si>
  <si>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</si>
  <si>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</si>
  <si>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</si>
  <si>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</si>
  <si>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</si>
  <si>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</si>
  <si>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</si>
  <si>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</si>
  <si>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</si>
  <si>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</si>
  <si>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</si>
  <si>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</si>
  <si>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</si>
  <si>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</si>
  <si>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</si>
  <si>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</si>
  <si>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</si>
  <si>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</si>
  <si>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</si>
  <si>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</si>
  <si>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</si>
  <si>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</si>
  <si>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</si>
  <si>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</si>
  <si>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</si>
  <si>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</si>
  <si>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</si>
  <si>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</si>
  <si>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</si>
  <si>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</si>
  <si>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</si>
  <si>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</si>
  <si>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</si>
  <si>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</si>
  <si>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</si>
  <si>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</si>
  <si>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</si>
  <si>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</si>
  <si>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</si>
  <si>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</si>
  <si>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</si>
  <si>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</si>
  <si>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</si>
  <si>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</si>
  <si>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</si>
  <si>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</si>
  <si>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</si>
  <si>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</si>
  <si>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</si>
  <si>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</si>
  <si>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</si>
  <si>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</si>
  <si>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</si>
  <si>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</si>
  <si>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</si>
  <si>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</si>
  <si>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</si>
  <si>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</si>
  <si>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</si>
  <si>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</si>
  <si>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</si>
  <si>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</si>
  <si>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</si>
  <si>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</si>
  <si>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</si>
  <si>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</si>
  <si>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</si>
  <si>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</si>
  <si>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</si>
  <si>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</si>
  <si>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</si>
  <si>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</si>
  <si>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</si>
  <si>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</si>
  <si>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</si>
  <si>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</si>
  <si>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</si>
  <si>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</si>
  <si>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</si>
  <si>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</si>
  <si>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</si>
  <si>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</si>
  <si>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</si>
  <si>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</si>
  <si>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</si>
  <si>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</si>
  <si>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</si>
  <si>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</si>
  <si>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</si>
  <si>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</si>
  <si>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</si>
  <si>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</si>
  <si>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</si>
  <si>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</si>
  <si>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</si>
  <si>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</si>
  <si>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</si>
  <si>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</si>
  <si>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</si>
  <si>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</si>
  <si>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</si>
  <si>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</si>
  <si>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</si>
  <si>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</si>
  <si>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</si>
  <si>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</si>
  <si>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</si>
  <si>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</si>
  <si>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</si>
  <si>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</si>
  <si>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</si>
  <si>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</si>
  <si>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</si>
  <si>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</si>
  <si>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</si>
  <si>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</si>
  <si>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</si>
  <si>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</si>
  <si>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</si>
  <si>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</si>
  <si>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</si>
  <si>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</si>
  <si>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</si>
  <si>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</si>
  <si>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</si>
  <si>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</si>
  <si>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</si>
  <si>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</si>
  <si>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</si>
  <si>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</si>
  <si>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</si>
  <si>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</si>
  <si>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</si>
  <si>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</si>
  <si>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</si>
  <si>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</si>
  <si>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</si>
  <si>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</si>
  <si>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</si>
  <si>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</si>
  <si>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</si>
  <si>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</si>
  <si>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</si>
  <si>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</si>
  <si>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</si>
  <si>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</si>
  <si>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</si>
  <si>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</si>
  <si>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</si>
  <si>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</si>
  <si>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</si>
  <si>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</si>
  <si>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</si>
  <si>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</si>
  <si>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</si>
  <si>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</si>
  <si>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</si>
  <si>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</si>
  <si>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</si>
  <si>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</si>
  <si>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</si>
  <si>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</si>
  <si>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</si>
  <si>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</si>
  <si>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</si>
  <si>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</si>
  <si>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</si>
  <si>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</si>
  <si>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</si>
  <si>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</si>
  <si>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</si>
  <si>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</si>
  <si>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</si>
  <si>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</si>
  <si>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</si>
  <si>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</si>
  <si>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</si>
  <si>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</si>
  <si>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</si>
  <si>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</si>
  <si>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</si>
  <si>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</si>
  <si>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</si>
  <si>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</si>
  <si>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</si>
  <si>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</si>
  <si>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</si>
  <si>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</si>
  <si>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</si>
  <si>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</si>
  <si>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</si>
  <si>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</si>
  <si>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</si>
  <si>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</si>
  <si>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</si>
  <si>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</si>
  <si>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</si>
  <si>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</si>
  <si>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</si>
  <si>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</si>
  <si>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</si>
  <si>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</si>
  <si>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</si>
  <si>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</si>
  <si>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</si>
  <si>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</si>
  <si>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</si>
  <si>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</si>
  <si>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</si>
  <si>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</si>
  <si>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</si>
  <si>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</si>
  <si>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</si>
  <si>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</si>
  <si>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</si>
  <si>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</si>
  <si>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</si>
  <si>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</si>
  <si>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</si>
  <si>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</si>
  <si>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</si>
  <si>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</si>
  <si>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</si>
  <si>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</si>
  <si>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</si>
  <si>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</si>
  <si>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</si>
  <si>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</si>
  <si>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</si>
  <si>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</si>
  <si>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</si>
  <si>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</si>
  <si>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</si>
  <si>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</si>
  <si>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</si>
  <si>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</si>
  <si>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</si>
  <si>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</si>
  <si>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</si>
  <si>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</si>
  <si>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</si>
  <si>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</si>
  <si>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</si>
  <si>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</si>
  <si>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</si>
  <si>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</si>
  <si>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</si>
  <si>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</si>
  <si>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</si>
  <si>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</si>
  <si>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</si>
  <si>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</si>
  <si>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</si>
  <si>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</si>
  <si>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</si>
  <si>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</si>
  <si>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</si>
  <si>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</si>
  <si>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</si>
  <si>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</si>
  <si>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</si>
  <si>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</si>
  <si>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</si>
  <si>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</si>
  <si>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</si>
  <si>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</si>
  <si>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</si>
  <si>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</si>
  <si>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</si>
  <si>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</si>
  <si>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</si>
  <si>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</si>
  <si>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</si>
  <si>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</si>
  <si>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</si>
  <si>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</si>
  <si>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</si>
  <si>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</si>
  <si>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</si>
  <si>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</si>
  <si>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</si>
  <si>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</si>
  <si>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</si>
  <si>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</si>
  <si>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</si>
  <si>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</si>
  <si>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</si>
  <si>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</si>
  <si>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</si>
  <si>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</si>
  <si>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</si>
  <si>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</si>
  <si>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</si>
  <si>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</si>
  <si>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</si>
  <si>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</si>
  <si>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</si>
  <si>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</si>
  <si>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</si>
  <si>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</si>
  <si>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</si>
  <si>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</si>
  <si>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</si>
  <si>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</si>
  <si>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</si>
  <si>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</si>
  <si>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</si>
  <si>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</si>
  <si>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</si>
  <si>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</si>
  <si>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</si>
  <si>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</si>
  <si>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</si>
  <si>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</si>
  <si>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</si>
  <si>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</si>
  <si>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</si>
  <si>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</si>
  <si>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</si>
  <si>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</si>
  <si>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</si>
  <si>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</si>
  <si>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</si>
  <si>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</si>
  <si>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</si>
  <si>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</si>
  <si>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</si>
  <si>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</si>
  <si>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</si>
  <si>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</si>
  <si>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</si>
  <si>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</si>
  <si>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</si>
  <si>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</si>
  <si>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</si>
  <si>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</si>
  <si>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</si>
  <si>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</si>
  <si>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</si>
  <si>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</si>
  <si>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</si>
  <si>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</si>
  <si>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</si>
  <si>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</si>
  <si>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</si>
  <si>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</si>
  <si>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</si>
  <si>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</si>
  <si>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</si>
  <si>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</si>
  <si>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</si>
  <si>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</si>
  <si>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</si>
  <si>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</si>
  <si>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</si>
  <si>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</si>
  <si>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</si>
  <si>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</si>
  <si>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</si>
  <si>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</si>
  <si>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</si>
  <si>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</si>
  <si>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</si>
  <si>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</si>
  <si>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</si>
  <si>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</si>
  <si>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</si>
  <si>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</si>
  <si>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</si>
  <si>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</si>
  <si>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</si>
  <si>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</si>
  <si>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</si>
  <si>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</si>
  <si>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</si>
  <si>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</si>
  <si>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</si>
  <si>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</si>
  <si>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</si>
  <si>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</si>
  <si>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</si>
  <si>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</si>
  <si>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</si>
  <si>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</si>
  <si>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</si>
  <si>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</si>
  <si>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</si>
  <si>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</si>
  <si>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</si>
  <si>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</si>
  <si>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</si>
  <si>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</si>
  <si>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</si>
  <si>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</si>
  <si>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</si>
  <si>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</si>
  <si>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</si>
  <si>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</si>
  <si>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</si>
  <si>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</si>
  <si>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</si>
  <si>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</si>
  <si>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</si>
  <si>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</si>
  <si>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</si>
  <si>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</si>
  <si>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</si>
  <si>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</si>
  <si>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</si>
  <si>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</si>
  <si>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</si>
  <si>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</si>
  <si>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</si>
  <si>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</si>
  <si>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</si>
  <si>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</si>
  <si>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</si>
  <si>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</si>
  <si>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</si>
  <si>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</si>
  <si>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</si>
  <si>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</si>
  <si>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</si>
  <si>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</si>
  <si>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</si>
  <si>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</si>
  <si>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</si>
  <si>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</si>
  <si>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</si>
  <si>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</si>
  <si>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</si>
  <si>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</si>
  <si>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</si>
  <si>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</si>
  <si>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</si>
  <si>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</si>
  <si>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</si>
  <si>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</si>
  <si>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</si>
  <si>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</si>
  <si>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</si>
  <si>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</si>
  <si>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</si>
  <si>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</si>
  <si>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</si>
  <si>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</si>
  <si>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</si>
  <si>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</si>
  <si>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</si>
  <si>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</si>
  <si>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</si>
  <si>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</si>
  <si>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</si>
  <si>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</si>
  <si>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</si>
  <si>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</si>
  <si>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</si>
  <si>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</si>
  <si>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</si>
  <si>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</si>
  <si>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</si>
  <si>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</si>
  <si>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</si>
  <si>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</si>
  <si>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</si>
  <si>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</si>
  <si>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</si>
  <si>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</si>
  <si>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</si>
  <si>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</si>
  <si>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</si>
  <si>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</si>
  <si>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</si>
  <si>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</si>
  <si>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</si>
  <si>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</si>
  <si>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</si>
  <si>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</si>
  <si>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</si>
  <si>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</si>
  <si>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</si>
  <si>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</si>
  <si>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</si>
  <si>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</si>
  <si>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</si>
  <si>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</si>
  <si>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</si>
  <si>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</si>
  <si>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</si>
  <si>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</si>
  <si>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</si>
  <si>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</si>
  <si>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</si>
  <si>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</si>
  <si>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</si>
  <si>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</si>
  <si>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</si>
  <si>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</si>
  <si>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</si>
  <si>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</si>
  <si>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</si>
  <si>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</si>
  <si>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</si>
  <si>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</si>
  <si>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</si>
  <si>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</si>
  <si>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</si>
  <si>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</si>
  <si>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</si>
  <si>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</si>
  <si>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</si>
  <si>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</si>
  <si>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</si>
  <si>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</si>
  <si>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</si>
  <si>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</si>
  <si>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</si>
  <si>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</si>
  <si>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</si>
  <si>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</si>
  <si>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</si>
  <si>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</si>
  <si>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</si>
  <si>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</si>
  <si>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</si>
  <si>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</si>
  <si>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</si>
  <si>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</si>
  <si>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</si>
  <si>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</si>
  <si>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</si>
  <si>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</si>
  <si>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</si>
  <si>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</si>
  <si>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</si>
  <si>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</si>
  <si>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</si>
  <si>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</si>
  <si>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</si>
  <si>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</si>
  <si>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</si>
  <si>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</si>
  <si>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</si>
  <si>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</si>
  <si>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</si>
  <si>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</si>
  <si>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</si>
  <si>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</si>
  <si>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</si>
  <si>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</si>
  <si>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</si>
  <si>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</si>
  <si>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</si>
  <si>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</si>
  <si>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</si>
  <si>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</si>
  <si>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</si>
  <si>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</si>
  <si>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</si>
  <si>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</si>
  <si>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</si>
  <si>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</si>
  <si>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</si>
  <si>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</si>
  <si>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</si>
  <si>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</si>
  <si>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</si>
  <si>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</si>
  <si>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</si>
  <si>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</si>
  <si>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</si>
  <si>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</si>
  <si>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</si>
  <si>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</si>
  <si>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</si>
  <si>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</si>
  <si>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</si>
  <si>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</si>
  <si>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</si>
  <si>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</si>
  <si>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</si>
  <si>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</si>
  <si>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</si>
  <si>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</si>
  <si>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</si>
  <si>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</si>
  <si>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</si>
  <si>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</si>
  <si>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</si>
  <si>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</si>
  <si>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</si>
  <si>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</si>
  <si>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</si>
  <si>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</si>
  <si>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</si>
  <si>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</si>
  <si>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</si>
  <si>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</si>
  <si>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</si>
  <si>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</si>
  <si>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</si>
  <si>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</si>
  <si>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</si>
  <si>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</si>
  <si>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</si>
  <si>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</si>
  <si>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</si>
  <si>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</si>
  <si>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</si>
  <si>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</si>
  <si>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</si>
  <si>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</si>
  <si>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</si>
  <si>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</si>
  <si>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</si>
  <si>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</si>
  <si>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</si>
  <si>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</si>
  <si>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</si>
  <si>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</si>
  <si>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</si>
  <si>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</si>
  <si>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</si>
  <si>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</si>
  <si>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</si>
  <si>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</si>
  <si>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</si>
  <si>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</si>
  <si>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</si>
  <si>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</si>
  <si>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</si>
  <si>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</si>
  <si>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</si>
  <si>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</si>
  <si>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</si>
  <si>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</si>
  <si>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</si>
  <si>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</si>
  <si>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</si>
  <si>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</si>
  <si>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</si>
  <si>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</si>
  <si>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</si>
  <si>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</si>
  <si>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</si>
  <si>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</si>
  <si>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</si>
  <si>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</si>
  <si>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</si>
  <si>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</si>
  <si>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</si>
  <si>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</si>
  <si>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</si>
  <si>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</si>
  <si>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</si>
  <si>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</si>
  <si>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</si>
  <si>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</si>
  <si>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</si>
  <si>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</si>
  <si>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</si>
  <si>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</si>
  <si>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</si>
  <si>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</si>
  <si>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</si>
  <si>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</si>
  <si>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</si>
  <si>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</si>
  <si>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</si>
  <si>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</si>
  <si>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</si>
  <si>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</si>
  <si>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</si>
  <si>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</si>
  <si>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</si>
  <si>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</si>
  <si>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</si>
  <si>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</si>
  <si>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</si>
  <si>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</si>
  <si>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</si>
  <si>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</si>
  <si>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</si>
  <si>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</si>
  <si>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</si>
  <si>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</si>
  <si>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</si>
  <si>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</si>
  <si>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</si>
  <si>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</si>
  <si>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</si>
  <si>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</si>
  <si>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</si>
  <si>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</si>
  <si>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</si>
  <si>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</si>
  <si>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</si>
  <si>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</si>
  <si>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</si>
  <si>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</si>
  <si>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</si>
  <si>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</si>
  <si>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</si>
  <si>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</si>
  <si>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</si>
  <si>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</si>
  <si>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</si>
  <si>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</si>
  <si>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</si>
  <si>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</si>
  <si>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</si>
  <si>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</si>
  <si>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</si>
  <si>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</si>
  <si>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</si>
  <si>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</si>
  <si>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</si>
  <si>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</si>
  <si>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</si>
  <si>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</si>
  <si>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</si>
  <si>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</si>
  <si>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</si>
  <si>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</si>
  <si>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</si>
  <si>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</si>
  <si>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</si>
  <si>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</si>
  <si>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</si>
  <si>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</si>
  <si>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</si>
  <si>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</si>
  <si>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</si>
  <si>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</si>
  <si>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</si>
  <si>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</si>
  <si>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</si>
  <si>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</si>
  <si>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</si>
  <si>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</si>
  <si>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</si>
  <si>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</si>
  <si>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</si>
  <si>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</si>
  <si>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</si>
  <si>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</si>
  <si>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</si>
  <si>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</si>
  <si>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</si>
  <si>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</si>
  <si>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</si>
  <si>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</si>
  <si>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</si>
  <si>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</si>
  <si>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</si>
  <si>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</si>
  <si>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</si>
  <si>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</si>
  <si>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</si>
  <si>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</si>
  <si>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</si>
  <si>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</si>
  <si>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</si>
  <si>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</si>
  <si>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</si>
  <si>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</si>
  <si>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</si>
  <si>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</si>
  <si>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</si>
  <si>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</si>
  <si>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</si>
  <si>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</si>
  <si>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</si>
  <si>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</si>
  <si>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</si>
  <si>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</si>
  <si>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</si>
  <si>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</si>
  <si>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</si>
  <si>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</si>
  <si>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</si>
  <si>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</si>
  <si>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</si>
  <si>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</si>
  <si>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</si>
  <si>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</si>
  <si>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</si>
  <si>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</si>
  <si>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</si>
  <si>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</si>
  <si>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</si>
  <si>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</si>
  <si>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</si>
  <si>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</si>
  <si>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</si>
  <si>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</si>
  <si>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</si>
  <si>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</si>
  <si>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</si>
  <si>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</si>
  <si>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</si>
  <si>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</si>
  <si>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</si>
  <si>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</si>
  <si>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</si>
  <si>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</si>
  <si>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</si>
  <si>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</si>
  <si>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</si>
  <si>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</si>
  <si>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</si>
  <si>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</si>
  <si>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</si>
  <si>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</si>
  <si>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</si>
  <si>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</si>
  <si>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</si>
  <si>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</si>
  <si>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</si>
  <si>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</si>
  <si>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</si>
  <si>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</si>
  <si>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</si>
  <si>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</si>
  <si>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</si>
  <si>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</si>
  <si>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</si>
  <si>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</si>
  <si>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</si>
  <si>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</si>
  <si>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</si>
  <si>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</si>
  <si>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</si>
  <si>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</si>
  <si>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</si>
  <si>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</si>
  <si>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</si>
  <si>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</si>
  <si>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</si>
  <si>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</si>
  <si>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</si>
  <si>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</si>
  <si>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</si>
  <si>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</si>
  <si>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</si>
  <si>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</si>
  <si>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</si>
  <si>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</si>
  <si>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</si>
  <si>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</si>
  <si>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</si>
  <si>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</si>
  <si>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</si>
  <si>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</si>
  <si>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</si>
  <si>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</si>
  <si>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</si>
  <si>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</si>
  <si>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</si>
  <si>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</si>
  <si>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</si>
  <si>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</si>
  <si>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</si>
  <si>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</si>
  <si>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</si>
  <si>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</si>
  <si>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</si>
  <si>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</si>
  <si>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</si>
  <si>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</si>
  <si>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</si>
  <si>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</si>
  <si>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</si>
  <si>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</si>
  <si>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</si>
  <si>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</si>
  <si>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</si>
  <si>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</si>
  <si>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</si>
  <si>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</si>
  <si>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</si>
  <si>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</si>
  <si>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</si>
  <si>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</si>
  <si>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</si>
  <si>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</si>
  <si>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</si>
  <si>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</si>
  <si>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</si>
  <si>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</si>
  <si>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</si>
  <si>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</si>
  <si>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</si>
  <si>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</si>
  <si>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</si>
  <si>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</si>
  <si>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</si>
  <si>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</si>
  <si>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</si>
  <si>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</si>
  <si>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</si>
  <si>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</si>
  <si>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</si>
  <si>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</si>
  <si>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</si>
  <si>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</si>
  <si>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</si>
  <si>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</si>
  <si>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</si>
  <si>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</si>
  <si>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</si>
  <si>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</si>
  <si>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</si>
  <si>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</si>
  <si>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</si>
  <si>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</si>
  <si>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</si>
  <si>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</si>
  <si>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</si>
  <si>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</si>
  <si>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</si>
  <si>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</si>
  <si>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</si>
  <si>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</si>
  <si>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</si>
  <si>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</si>
  <si>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</si>
  <si>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</si>
  <si>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</si>
  <si>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</si>
  <si>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</si>
  <si>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</si>
  <si>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</si>
  <si>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</si>
  <si>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</si>
  <si>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</si>
  <si>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</si>
  <si>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</si>
  <si>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</si>
  <si>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</si>
  <si>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</si>
  <si>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</si>
  <si>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</si>
  <si>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</si>
  <si>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</si>
  <si>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</si>
  <si>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</si>
  <si>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</si>
  <si>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</si>
  <si>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</si>
  <si>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</si>
  <si>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</si>
  <si>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</si>
  <si>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</si>
  <si>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</si>
  <si>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</si>
  <si>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</si>
  <si>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</si>
  <si>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</si>
  <si>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</si>
  <si>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</si>
  <si>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</si>
  <si>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</si>
  <si>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</si>
  <si>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</si>
  <si>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</si>
  <si>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</si>
  <si>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</si>
  <si>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</si>
  <si>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</si>
  <si>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</si>
  <si>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</si>
  <si>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</si>
  <si>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</si>
  <si>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</si>
  <si>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</si>
  <si>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</si>
  <si>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</si>
  <si>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</si>
  <si>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</si>
  <si>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</si>
  <si>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</si>
  <si>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</si>
  <si>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</si>
  <si>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</si>
  <si>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</si>
  <si>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</si>
  <si>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</si>
  <si>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</si>
  <si>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</si>
  <si>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</si>
  <si>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</si>
  <si>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</si>
  <si>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</si>
  <si>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</si>
  <si>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</si>
  <si>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</si>
  <si>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</si>
  <si>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</si>
  <si>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</si>
  <si>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</si>
  <si>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</si>
  <si>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</si>
  <si>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</si>
  <si>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</si>
  <si>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</si>
  <si>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</si>
  <si>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</si>
  <si>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</si>
  <si>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</si>
  <si>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</si>
  <si>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</si>
  <si>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</si>
  <si>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</si>
  <si>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</si>
  <si>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</si>
  <si>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</si>
  <si>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</si>
  <si>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</si>
  <si>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</si>
  <si>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</si>
  <si>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</si>
  <si>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</si>
  <si>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</si>
  <si>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</si>
  <si>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</si>
  <si>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</si>
  <si>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</si>
  <si>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</si>
  <si>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</si>
  <si>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</si>
  <si>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</si>
  <si>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</si>
  <si>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</si>
  <si>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</si>
  <si>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</si>
  <si>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</si>
  <si>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</si>
  <si>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</si>
  <si>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</si>
  <si>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</si>
  <si>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</si>
  <si>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</si>
  <si>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</si>
  <si>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</si>
  <si>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</si>
  <si>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</si>
  <si>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</si>
  <si>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</si>
  <si>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</si>
  <si>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</si>
  <si>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</si>
  <si>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</si>
  <si>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</si>
  <si>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</si>
  <si>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</si>
  <si>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</si>
  <si>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</si>
  <si>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</si>
  <si>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</si>
  <si>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</si>
  <si>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</si>
  <si>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</si>
  <si>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</si>
  <si>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</si>
  <si>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</si>
  <si>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</si>
  <si>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</si>
  <si>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</si>
  <si>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</si>
  <si>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</si>
  <si>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</si>
  <si>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</si>
  <si>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</si>
  <si>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</si>
  <si>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</si>
  <si>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</si>
  <si>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</si>
  <si>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</si>
  <si>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</si>
  <si>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</si>
  <si>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</si>
  <si>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</si>
  <si>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</si>
  <si>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</si>
  <si>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</si>
  <si>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</si>
  <si>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</si>
  <si>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</si>
  <si>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</si>
  <si>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</si>
  <si>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</si>
  <si>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</si>
  <si>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</si>
  <si>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</si>
  <si>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</si>
  <si>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</si>
  <si>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</si>
  <si>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</si>
  <si>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</si>
  <si>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</si>
  <si>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</si>
  <si>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</si>
  <si>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</si>
  <si>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</si>
  <si>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</si>
  <si>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</si>
  <si>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</si>
  <si>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</si>
  <si>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</si>
  <si>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</si>
  <si>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</si>
  <si>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</si>
  <si>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</si>
  <si>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</si>
  <si>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</si>
  <si>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</si>
  <si>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</si>
  <si>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</si>
  <si>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</si>
  <si>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</si>
  <si>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</si>
  <si>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</si>
  <si>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</si>
  <si>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</si>
  <si>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</si>
  <si>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</si>
  <si>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</si>
  <si>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</si>
  <si>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</si>
  <si>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</si>
  <si>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</si>
  <si>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</si>
  <si>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</si>
  <si>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</si>
  <si>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</si>
  <si>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</si>
  <si>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</si>
  <si>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</si>
  <si>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</si>
  <si>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</si>
  <si>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</si>
  <si>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</si>
  <si>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</si>
  <si>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</si>
  <si>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</si>
  <si>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</si>
  <si>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</si>
  <si>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</si>
  <si>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</si>
  <si>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</si>
  <si>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</si>
  <si>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</si>
  <si>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</si>
  <si>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</si>
  <si>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</si>
  <si>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</si>
  <si>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</si>
  <si>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</si>
  <si>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</si>
  <si>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</si>
  <si>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</si>
  <si>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</si>
  <si>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</si>
  <si>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</si>
  <si>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</si>
  <si>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</si>
  <si>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</si>
  <si>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</si>
  <si>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</si>
  <si>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</si>
  <si>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</si>
  <si>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</si>
  <si>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</si>
  <si>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</si>
  <si>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</si>
  <si>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</si>
  <si>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</si>
  <si>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</si>
  <si>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</si>
  <si>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</si>
  <si>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</si>
  <si>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</si>
  <si>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</si>
  <si>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</si>
  <si>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</si>
  <si>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</si>
  <si>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</si>
  <si>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</si>
  <si>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</si>
  <si>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</si>
  <si>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</si>
  <si>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</si>
  <si>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</si>
  <si>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</si>
  <si>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</si>
  <si>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</si>
  <si>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</si>
  <si>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</si>
  <si>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</si>
  <si>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</si>
  <si>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</si>
  <si>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</si>
  <si>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</si>
  <si>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</si>
  <si>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</si>
  <si>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</si>
  <si>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</si>
  <si>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</si>
  <si>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</si>
  <si>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</si>
  <si>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</si>
  <si>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</si>
  <si>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</si>
  <si>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</si>
  <si>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</si>
  <si>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</si>
  <si>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</si>
  <si>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</si>
  <si>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</si>
  <si>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</si>
  <si>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</si>
  <si>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</si>
  <si>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</si>
  <si>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</si>
  <si>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</si>
  <si>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</si>
  <si>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</si>
  <si>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</si>
  <si>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</si>
  <si>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</si>
  <si>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</si>
  <si>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</si>
  <si>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</si>
  <si>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</si>
  <si>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</si>
  <si>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</si>
  <si>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</si>
  <si>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</si>
  <si>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</si>
  <si>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</si>
  <si>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</si>
  <si>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</si>
  <si>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</si>
  <si>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</si>
  <si>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</si>
  <si>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</si>
  <si>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</si>
  <si>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</si>
  <si>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</si>
  <si>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</si>
  <si>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</si>
  <si>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</si>
  <si>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</si>
  <si>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</si>
  <si>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</si>
  <si>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</si>
  <si>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</si>
  <si>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</si>
  <si>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</si>
  <si>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</si>
  <si>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</si>
  <si>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</si>
  <si>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</si>
  <si>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</si>
  <si>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</si>
  <si>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</si>
  <si>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</si>
  <si>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</si>
  <si>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</si>
  <si>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</si>
  <si>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</si>
  <si>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</si>
  <si>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</si>
  <si>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</si>
  <si>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</si>
  <si>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</si>
  <si>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</si>
  <si>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</si>
  <si>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</si>
  <si>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</si>
  <si>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</si>
  <si>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</si>
  <si>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</si>
  <si>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</si>
  <si>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</si>
  <si>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</si>
  <si>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</si>
  <si>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</si>
  <si>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</si>
  <si>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</si>
  <si>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</si>
  <si>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</si>
  <si>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</si>
  <si>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</si>
  <si>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</si>
  <si>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</si>
  <si>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</si>
  <si>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</si>
  <si>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</si>
  <si>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</si>
  <si>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</si>
  <si>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</si>
  <si>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</si>
  <si>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</si>
  <si>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</si>
  <si>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</si>
  <si>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</si>
  <si>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</si>
  <si>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</si>
  <si>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</si>
  <si>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</si>
  <si>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</si>
  <si>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</si>
  <si>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</si>
  <si>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</si>
  <si>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</si>
  <si>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</si>
  <si>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</si>
  <si>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</si>
  <si>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</si>
  <si>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</si>
  <si>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</si>
  <si>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</si>
  <si>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</si>
  <si>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</si>
  <si>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</si>
  <si>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</si>
  <si>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</si>
  <si>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</si>
  <si>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</si>
  <si>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</si>
  <si>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</si>
  <si>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</si>
  <si>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</si>
  <si>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</si>
  <si>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</si>
  <si>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</si>
  <si>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</si>
  <si>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</si>
  <si>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</si>
  <si>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</si>
  <si>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</si>
  <si>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</si>
  <si>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</si>
  <si>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</si>
  <si>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</si>
  <si>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</si>
  <si>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</si>
  <si>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</si>
  <si>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</si>
  <si>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</si>
  <si>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</si>
  <si>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</si>
  <si>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</si>
  <si>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</si>
  <si>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</si>
  <si>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</si>
  <si>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</si>
  <si>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</si>
  <si>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</si>
  <si>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</si>
  <si>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</si>
  <si>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</si>
  <si>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</si>
  <si>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</si>
  <si>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</si>
  <si>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</si>
  <si>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</si>
  <si>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</si>
  <si>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</si>
  <si>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</si>
  <si>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</si>
  <si>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</si>
  <si>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</si>
  <si>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</si>
  <si>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</si>
  <si>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</si>
  <si>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</si>
  <si>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</si>
  <si>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</si>
  <si>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</si>
  <si>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</si>
  <si>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</si>
  <si>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</si>
  <si>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</si>
  <si>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</si>
  <si>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</si>
  <si>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</si>
  <si>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</si>
  <si>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</si>
  <si>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</si>
  <si>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</si>
  <si>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</si>
  <si>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</si>
  <si>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</si>
  <si>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</si>
  <si>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</si>
  <si>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</si>
  <si>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</si>
  <si>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</si>
  <si>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</si>
  <si>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</si>
  <si>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</si>
  <si>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</si>
  <si>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</si>
  <si>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</si>
  <si>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</si>
  <si>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</si>
  <si>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</si>
  <si>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</si>
  <si>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</si>
  <si>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</si>
  <si>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</si>
  <si>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</si>
  <si>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</si>
  <si>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</si>
  <si>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</si>
  <si>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</si>
  <si>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</si>
  <si>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</si>
  <si>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</si>
  <si>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</si>
  <si>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</si>
  <si>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</si>
  <si>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</si>
  <si>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80072926694</t>
  </si>
  <si>
    <t>56994999963</t>
  </si>
  <si>
    <t>03145662</t>
  </si>
  <si>
    <t>040000817</t>
  </si>
  <si>
    <t>JADRAN D.D.</t>
  </si>
  <si>
    <t>CRIKVENICA</t>
  </si>
  <si>
    <t>BANA JELAČIĆA  16</t>
  </si>
  <si>
    <t>uprava@jadran-crikvenica.hr</t>
  </si>
  <si>
    <t>051/241-203</t>
  </si>
  <si>
    <t>www.jadran-crikvenica.hr</t>
  </si>
  <si>
    <t>NATALI  IVANČIĆ MAJETIĆ</t>
  </si>
  <si>
    <t>051/800-482</t>
  </si>
  <si>
    <t>natali.ivancic@jadran-crikvenica.hr</t>
  </si>
  <si>
    <t>MATIĆ  PERO</t>
  </si>
  <si>
    <t>MSFI</t>
  </si>
  <si>
    <t>17</t>
  </si>
  <si>
    <t>16</t>
  </si>
  <si>
    <t>18</t>
  </si>
  <si>
    <t>19</t>
  </si>
  <si>
    <t>20</t>
  </si>
  <si>
    <t>22</t>
  </si>
  <si>
    <t>21</t>
  </si>
  <si>
    <t>23</t>
  </si>
  <si>
    <t>24</t>
  </si>
  <si>
    <t>25</t>
  </si>
  <si>
    <t>26</t>
  </si>
  <si>
    <t>27</t>
  </si>
  <si>
    <t>29</t>
  </si>
  <si>
    <t>32</t>
  </si>
  <si>
    <t>28</t>
  </si>
  <si>
    <t>30</t>
  </si>
  <si>
    <t>31</t>
  </si>
  <si>
    <t>33</t>
  </si>
  <si>
    <t>14</t>
  </si>
  <si>
    <t>5</t>
  </si>
  <si>
    <t>6</t>
  </si>
  <si>
    <t>7</t>
  </si>
  <si>
    <t>8</t>
  </si>
  <si>
    <t>9</t>
  </si>
  <si>
    <t>12</t>
  </si>
  <si>
    <t>11</t>
  </si>
  <si>
    <t>10</t>
  </si>
  <si>
    <t>13</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</si>
</sst>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sz val="10"/>
      <color indexed="8"/>
      <name val="MS Sans Serif"/>
      <family val="0"/>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6"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53" applyFont="1" applyFill="1" applyBorder="1" applyAlignment="1" applyProtection="1">
      <alignment horizontal="center" vertical="center" shrinkToFit="1"/>
      <protection hidden="1"/>
    </xf>
    <xf numFmtId="0" fontId="45" fillId="35" borderId="25" xfId="53"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53" applyFont="1" applyBorder="1" applyAlignment="1" applyProtection="1">
      <alignment vertical="center"/>
      <protection hidden="1"/>
    </xf>
    <xf numFmtId="0" fontId="57" fillId="0" borderId="49" xfId="53" applyFont="1" applyBorder="1" applyAlignment="1" applyProtection="1">
      <alignment vertical="center"/>
      <protection/>
    </xf>
    <xf numFmtId="0" fontId="57"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53"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37189643.82</v>
      </c>
      <c r="I3" s="31">
        <f>ABS(ROUND(J3,0)-J3)+ABS(ROUND(K3,0)-K3)</f>
        <v>0</v>
      </c>
      <c r="J3" s="31">
        <f>Bilanca!I10</f>
        <v>591217891</v>
      </c>
      <c r="K3" s="31">
        <f>Bilanca!J10</f>
        <v>634132150</v>
      </c>
    </row>
    <row r="4" spans="1:11" ht="12.75">
      <c r="A4" s="4" t="s">
        <v>1088</v>
      </c>
      <c r="B4" s="29" t="s">
        <v>1888</v>
      </c>
      <c r="D4" s="4" t="s">
        <v>1521</v>
      </c>
      <c r="E4" s="4">
        <v>1</v>
      </c>
      <c r="F4" s="4">
        <f>Bilanca!G11</f>
        <v>3</v>
      </c>
      <c r="G4" s="4">
        <f>IF(Bilanca!H11=0,"",Bilanca!H11)</f>
      </c>
      <c r="H4" s="30">
        <f>J4/100*F4+2*K4/100*F4</f>
        <v>21084.45</v>
      </c>
      <c r="I4" s="31">
        <f>ABS(ROUND(J4,0)-J4)+ABS(ROUND(K4,0)-K4)</f>
        <v>0</v>
      </c>
      <c r="J4" s="31">
        <f>Bilanca!I11</f>
        <v>309375</v>
      </c>
      <c r="K4" s="31">
        <f>Bilanca!J11</f>
        <v>196720</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03145662</v>
      </c>
      <c r="D6" s="4" t="s">
        <v>1521</v>
      </c>
      <c r="E6" s="4">
        <v>1</v>
      </c>
      <c r="F6" s="4">
        <f>Bilanca!G13</f>
        <v>5</v>
      </c>
      <c r="G6" s="4" t="str">
        <f>IF(Bilanca!H13=0,"",Bilanca!H13)</f>
        <v>17</v>
      </c>
      <c r="H6" s="30">
        <f aca="true" t="shared" si="0" ref="H6:H45">J6/100*F6+2*K6/100*F6</f>
        <v>34671.5</v>
      </c>
      <c r="I6" s="31">
        <f aca="true" t="shared" si="1" ref="I6:I45">ABS(ROUND(J6,0)-J6)+ABS(ROUND(K6,0)-K6)</f>
        <v>0</v>
      </c>
      <c r="J6" s="31">
        <f>Bilanca!I13</f>
        <v>299990</v>
      </c>
      <c r="K6" s="31">
        <f>Bilanca!J13</f>
        <v>196720</v>
      </c>
    </row>
    <row r="7" spans="1:11" ht="12.75">
      <c r="A7" s="4" t="s">
        <v>2352</v>
      </c>
      <c r="B7" s="29" t="str">
        <f>RefStr!M27</f>
        <v>040000817</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56994999963</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t="str">
        <f>TRIM(RefStr!C29)</f>
        <v>JADRAN D.D.</v>
      </c>
      <c r="D9" s="4" t="s">
        <v>1521</v>
      </c>
      <c r="E9" s="4">
        <v>1</v>
      </c>
      <c r="F9" s="4">
        <f>Bilanca!G16</f>
        <v>8</v>
      </c>
      <c r="G9" s="4">
        <f>IF(Bilanca!H16=0,"",Bilanca!H16)</f>
      </c>
      <c r="H9" s="30">
        <f t="shared" si="0"/>
        <v>750.8</v>
      </c>
      <c r="I9" s="31">
        <f t="shared" si="1"/>
        <v>0</v>
      </c>
      <c r="J9" s="31">
        <f>Bilanca!I16</f>
        <v>9385</v>
      </c>
      <c r="K9" s="31">
        <f>Bilanca!J16</f>
        <v>0</v>
      </c>
    </row>
    <row r="10" spans="1:11" ht="12.75">
      <c r="A10" s="4" t="s">
        <v>2354</v>
      </c>
      <c r="B10" s="29" t="str">
        <f>TEXT(RefStr!C31,"00000")</f>
        <v>51260</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t="str">
        <f>TRIM(RefStr!F31)</f>
        <v>CRIKVENICA</v>
      </c>
      <c r="D11" s="4" t="s">
        <v>1521</v>
      </c>
      <c r="E11" s="4">
        <v>1</v>
      </c>
      <c r="F11" s="4">
        <f>Bilanca!G18</f>
        <v>10</v>
      </c>
      <c r="G11" s="4">
        <f>IF(Bilanca!H18=0,"",Bilanca!H18)</f>
      </c>
      <c r="H11" s="30">
        <f t="shared" si="0"/>
        <v>184813924.3</v>
      </c>
      <c r="I11" s="31">
        <f t="shared" si="1"/>
        <v>0</v>
      </c>
      <c r="J11" s="31">
        <f>Bilanca!I18</f>
        <v>587361805</v>
      </c>
      <c r="K11" s="31">
        <f>Bilanca!J18</f>
        <v>630388719</v>
      </c>
    </row>
    <row r="12" spans="1:11" ht="12.75">
      <c r="A12" s="4" t="s">
        <v>2356</v>
      </c>
      <c r="B12" s="29" t="str">
        <f>TRIM(RefStr!C33)</f>
        <v>BANA JELAČIĆA 16</v>
      </c>
      <c r="D12" s="4" t="s">
        <v>1521</v>
      </c>
      <c r="E12" s="4">
        <v>1</v>
      </c>
      <c r="F12" s="4">
        <f>Bilanca!G19</f>
        <v>11</v>
      </c>
      <c r="G12" s="4" t="str">
        <f>IF(Bilanca!H19=0,"",Bilanca!H19)</f>
        <v>16</v>
      </c>
      <c r="H12" s="30">
        <f t="shared" si="0"/>
        <v>98472840.95</v>
      </c>
      <c r="I12" s="31">
        <f t="shared" si="1"/>
        <v>0</v>
      </c>
      <c r="J12" s="31">
        <f>Bilanca!I19</f>
        <v>298461517</v>
      </c>
      <c r="K12" s="31">
        <f>Bilanca!J19</f>
        <v>298373064</v>
      </c>
    </row>
    <row r="13" spans="1:11" ht="12.75">
      <c r="A13" s="4" t="s">
        <v>1193</v>
      </c>
      <c r="B13" s="29" t="str">
        <f>TRIM(RefStr!C35)</f>
        <v>uprava@jadran-crikvenica.hr</v>
      </c>
      <c r="D13" s="4" t="s">
        <v>1521</v>
      </c>
      <c r="E13" s="4">
        <v>1</v>
      </c>
      <c r="F13" s="4">
        <f>Bilanca!G20</f>
        <v>12</v>
      </c>
      <c r="G13" s="4" t="str">
        <f>IF(Bilanca!H20=0,"",Bilanca!H20)</f>
        <v>16</v>
      </c>
      <c r="H13" s="30">
        <f t="shared" si="0"/>
        <v>104335568.16</v>
      </c>
      <c r="I13" s="31">
        <f t="shared" si="1"/>
        <v>0</v>
      </c>
      <c r="J13" s="31">
        <f>Bilanca!I20</f>
        <v>266953640</v>
      </c>
      <c r="K13" s="31">
        <f>Bilanca!J20</f>
        <v>301254714</v>
      </c>
    </row>
    <row r="14" spans="1:11" ht="12.75">
      <c r="A14" s="4" t="s">
        <v>1194</v>
      </c>
      <c r="B14" s="29" t="str">
        <f>TRIM(RefStr!C37)</f>
        <v>www.jadran-crikvenica.hr</v>
      </c>
      <c r="D14" s="4" t="s">
        <v>1521</v>
      </c>
      <c r="E14" s="4">
        <v>1</v>
      </c>
      <c r="F14" s="4">
        <f>Bilanca!G21</f>
        <v>13</v>
      </c>
      <c r="G14" s="4" t="str">
        <f>IF(Bilanca!H21=0,"",Bilanca!H21)</f>
        <v>16</v>
      </c>
      <c r="H14" s="30">
        <f t="shared" si="0"/>
        <v>9634821.3</v>
      </c>
      <c r="I14" s="31">
        <f t="shared" si="1"/>
        <v>0</v>
      </c>
      <c r="J14" s="31">
        <f>Bilanca!I21</f>
        <v>16066254</v>
      </c>
      <c r="K14" s="31">
        <f>Bilanca!J21</f>
        <v>29023878</v>
      </c>
    </row>
    <row r="15" spans="1:11" ht="12.75">
      <c r="A15" s="4" t="s">
        <v>2359</v>
      </c>
      <c r="B15" s="29" t="str">
        <f>TEXT(RefStr!J39,"00")</f>
        <v>08</v>
      </c>
      <c r="D15" s="4" t="s">
        <v>1521</v>
      </c>
      <c r="E15" s="4">
        <v>1</v>
      </c>
      <c r="F15" s="4">
        <f>Bilanca!G22</f>
        <v>14</v>
      </c>
      <c r="G15" s="4" t="str">
        <f>IF(Bilanca!H22=0,"",Bilanca!H22)</f>
        <v>16</v>
      </c>
      <c r="H15" s="30">
        <f t="shared" si="0"/>
        <v>114930.9</v>
      </c>
      <c r="I15" s="31">
        <f t="shared" si="1"/>
        <v>0</v>
      </c>
      <c r="J15" s="31">
        <f>Bilanca!I22</f>
        <v>304583</v>
      </c>
      <c r="K15" s="31">
        <f>Bilanca!J22</f>
        <v>258176</v>
      </c>
    </row>
    <row r="16" spans="1:11" ht="12.75">
      <c r="A16" s="4" t="s">
        <v>2358</v>
      </c>
      <c r="B16" s="29" t="str">
        <f>TEXT(RefStr!C39,"000")</f>
        <v>053</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5510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16</v>
      </c>
      <c r="H18" s="30">
        <f t="shared" si="0"/>
        <v>1450709.45</v>
      </c>
      <c r="I18" s="31">
        <f t="shared" si="1"/>
        <v>0</v>
      </c>
      <c r="J18" s="31">
        <f>Bilanca!I25</f>
        <v>5575811</v>
      </c>
      <c r="K18" s="31">
        <f>Bilanca!J25</f>
        <v>1478887</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t="str">
        <f>IF(Bilanca!H28=0,"",Bilanca!H28)</f>
        <v>18</v>
      </c>
      <c r="H21" s="30">
        <f t="shared" si="0"/>
        <v>1927344</v>
      </c>
      <c r="I21" s="31">
        <f t="shared" si="1"/>
        <v>0</v>
      </c>
      <c r="J21" s="31">
        <f>Bilanca!I28</f>
        <v>3212240</v>
      </c>
      <c r="K21" s="31">
        <f>Bilanca!J28</f>
        <v>3212240</v>
      </c>
    </row>
    <row r="22" spans="1:11" ht="12.75">
      <c r="A22" s="4" t="s">
        <v>1199</v>
      </c>
      <c r="B22" s="29">
        <f>RefStr!C52</f>
        <v>42</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244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292</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264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312</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2891016</v>
      </c>
      <c r="I31" s="31">
        <f t="shared" si="1"/>
        <v>0</v>
      </c>
      <c r="J31" s="31">
        <f>Bilanca!I38</f>
        <v>3212240</v>
      </c>
      <c r="K31" s="31">
        <f>Bilanca!J38</f>
        <v>3212240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361228.68</v>
      </c>
      <c r="I37" s="31">
        <f t="shared" si="1"/>
        <v>0</v>
      </c>
      <c r="J37" s="31">
        <f>Bilanca!I44</f>
        <v>334471</v>
      </c>
      <c r="K37" s="31">
        <f>Bilanca!J44</f>
        <v>334471</v>
      </c>
    </row>
    <row r="38" spans="1:11" ht="12.75">
      <c r="A38" s="4" t="s">
        <v>1215</v>
      </c>
      <c r="B38" s="29">
        <f>RefStr!B66</f>
        <v>0</v>
      </c>
      <c r="D38" s="4" t="s">
        <v>1521</v>
      </c>
      <c r="E38" s="4">
        <v>1</v>
      </c>
      <c r="F38" s="4">
        <f>Bilanca!G45</f>
        <v>37</v>
      </c>
      <c r="G38" s="4">
        <f>IF(Bilanca!H45=0,"",Bilanca!H45)</f>
      </c>
      <c r="H38" s="30">
        <f t="shared" si="0"/>
        <v>7779279.23</v>
      </c>
      <c r="I38" s="31">
        <f t="shared" si="1"/>
        <v>0</v>
      </c>
      <c r="J38" s="31">
        <f>Bilanca!I45</f>
        <v>8220083</v>
      </c>
      <c r="K38" s="31">
        <f>Bilanca!J45</f>
        <v>6402498</v>
      </c>
    </row>
    <row r="39" spans="1:11" ht="12.75">
      <c r="A39" s="4" t="s">
        <v>1216</v>
      </c>
      <c r="B39" s="29" t="str">
        <f>RefStr!C68</f>
        <v>NATALI  IVANČIĆ MAJETIĆ</v>
      </c>
      <c r="D39" s="4" t="s">
        <v>1521</v>
      </c>
      <c r="E39" s="4">
        <v>1</v>
      </c>
      <c r="F39" s="4">
        <f>Bilanca!G46</f>
        <v>38</v>
      </c>
      <c r="G39" s="4" t="str">
        <f>IF(Bilanca!H46=0,"",Bilanca!H46)</f>
        <v>19</v>
      </c>
      <c r="H39" s="30">
        <f t="shared" si="0"/>
        <v>486648.52</v>
      </c>
      <c r="I39" s="31">
        <f t="shared" si="1"/>
        <v>0</v>
      </c>
      <c r="J39" s="31">
        <f>Bilanca!I46</f>
        <v>357320</v>
      </c>
      <c r="K39" s="31">
        <f>Bilanca!J46</f>
        <v>461667</v>
      </c>
    </row>
    <row r="40" spans="1:11" ht="12.75">
      <c r="A40" s="4" t="s">
        <v>1217</v>
      </c>
      <c r="B40" s="29" t="str">
        <f>TRIM(RefStr!C70)</f>
        <v>051/800-482</v>
      </c>
      <c r="D40" s="4" t="s">
        <v>1521</v>
      </c>
      <c r="E40" s="4">
        <v>1</v>
      </c>
      <c r="F40" s="4">
        <f>Bilanca!G47</f>
        <v>39</v>
      </c>
      <c r="G40" s="4">
        <f>IF(Bilanca!H47=0,"",Bilanca!H47)</f>
      </c>
      <c r="H40" s="30">
        <f t="shared" si="0"/>
        <v>483815.67000000004</v>
      </c>
      <c r="I40" s="31">
        <f t="shared" si="1"/>
        <v>0</v>
      </c>
      <c r="J40" s="31">
        <f>Bilanca!I47</f>
        <v>344141</v>
      </c>
      <c r="K40" s="31">
        <f>Bilanca!J47</f>
        <v>448206</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natali.ivancic@jadran-crikvenica.hr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MATIĆ PERO</v>
      </c>
      <c r="D43" s="4" t="s">
        <v>1521</v>
      </c>
      <c r="E43" s="4">
        <v>1</v>
      </c>
      <c r="F43" s="4">
        <f>Bilanca!G50</f>
        <v>42</v>
      </c>
      <c r="G43" s="4">
        <f>IF(Bilanca!H50=0,"",Bilanca!H50)</f>
      </c>
      <c r="H43" s="30">
        <f t="shared" si="0"/>
        <v>16842.420000000002</v>
      </c>
      <c r="I43" s="31">
        <f t="shared" si="1"/>
        <v>0</v>
      </c>
      <c r="J43" s="31">
        <f>Bilanca!I50</f>
        <v>13179</v>
      </c>
      <c r="K43" s="31">
        <f>Bilanca!J50</f>
        <v>13461</v>
      </c>
    </row>
    <row r="44" spans="1:11" ht="12.75">
      <c r="A44" s="4" t="s">
        <v>2852</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4286991.62</v>
      </c>
      <c r="I47" s="31">
        <f t="shared" si="3"/>
        <v>0</v>
      </c>
      <c r="J47" s="31">
        <f>Bilanca!I54</f>
        <v>2742825</v>
      </c>
      <c r="K47" s="31">
        <f>Bilanca!J54</f>
        <v>3288361</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20</v>
      </c>
      <c r="H50" s="30">
        <f t="shared" si="2"/>
        <v>1664532.4500000002</v>
      </c>
      <c r="I50" s="31">
        <f t="shared" si="3"/>
        <v>0</v>
      </c>
      <c r="J50" s="31">
        <f>Bilanca!I57</f>
        <v>1716549</v>
      </c>
      <c r="K50" s="31">
        <f>Bilanca!J57</f>
        <v>840228</v>
      </c>
    </row>
    <row r="51" spans="1:11" ht="12.75">
      <c r="A51" s="4" t="s">
        <v>288</v>
      </c>
      <c r="B51" s="29" t="str">
        <f>RefStr!I60</f>
        <v>DA</v>
      </c>
      <c r="D51" s="4" t="s">
        <v>1521</v>
      </c>
      <c r="E51" s="4">
        <v>1</v>
      </c>
      <c r="F51" s="4">
        <f>Bilanca!G58</f>
        <v>50</v>
      </c>
      <c r="G51" s="4">
        <f>IF(Bilanca!H58=0,"",Bilanca!H58)</f>
      </c>
      <c r="H51" s="30">
        <f t="shared" si="2"/>
        <v>49085.5</v>
      </c>
      <c r="I51" s="31">
        <f t="shared" si="3"/>
        <v>0</v>
      </c>
      <c r="J51" s="31">
        <f>Bilanca!I58</f>
        <v>25181</v>
      </c>
      <c r="K51" s="31">
        <f>Bilanca!J58</f>
        <v>36495</v>
      </c>
    </row>
    <row r="52" spans="1:11" ht="12.75">
      <c r="A52" s="4" t="s">
        <v>1219</v>
      </c>
      <c r="B52" s="29" t="s">
        <v>2618</v>
      </c>
      <c r="D52" s="4" t="s">
        <v>1521</v>
      </c>
      <c r="E52" s="4">
        <v>1</v>
      </c>
      <c r="F52" s="4">
        <f>Bilanca!G59</f>
        <v>51</v>
      </c>
      <c r="G52" s="4">
        <f>IF(Bilanca!H59=0,"",Bilanca!H59)</f>
      </c>
      <c r="H52" s="30">
        <f t="shared" si="2"/>
        <v>1304349.48</v>
      </c>
      <c r="I52" s="31">
        <f t="shared" si="3"/>
        <v>0</v>
      </c>
      <c r="J52" s="31">
        <f>Bilanca!I59</f>
        <v>213530</v>
      </c>
      <c r="K52" s="31">
        <f>Bilanca!J59</f>
        <v>1172009</v>
      </c>
    </row>
    <row r="53" spans="1:11" ht="12.75">
      <c r="A53" s="4" t="s">
        <v>532</v>
      </c>
      <c r="B53" s="29" t="str">
        <f>RefStr!I56</f>
        <v>DA</v>
      </c>
      <c r="D53" s="4" t="s">
        <v>1521</v>
      </c>
      <c r="E53" s="4">
        <v>1</v>
      </c>
      <c r="F53" s="4">
        <f>Bilanca!G60</f>
        <v>52</v>
      </c>
      <c r="G53" s="4" t="str">
        <f>IF(Bilanca!H60=0,"",Bilanca!H60)</f>
        <v>22</v>
      </c>
      <c r="H53" s="30">
        <f t="shared" si="2"/>
        <v>1698747.9600000002</v>
      </c>
      <c r="I53" s="31">
        <f t="shared" si="3"/>
        <v>0</v>
      </c>
      <c r="J53" s="31">
        <f>Bilanca!I60</f>
        <v>787565</v>
      </c>
      <c r="K53" s="31">
        <f>Bilanca!J60</f>
        <v>1239629</v>
      </c>
    </row>
    <row r="54" spans="1:11" ht="12.75">
      <c r="A54" s="4" t="s">
        <v>533</v>
      </c>
      <c r="B54" s="29" t="str">
        <f>RefStr!I62</f>
        <v>DA</v>
      </c>
      <c r="D54" s="4" t="s">
        <v>1521</v>
      </c>
      <c r="E54" s="4">
        <v>1</v>
      </c>
      <c r="F54" s="4">
        <f>Bilanca!G61</f>
        <v>53</v>
      </c>
      <c r="G54" s="4" t="str">
        <f>IF(Bilanca!H61=0,"",Bilanca!H61)</f>
        <v>21</v>
      </c>
      <c r="H54" s="30">
        <f t="shared" si="2"/>
        <v>640900.38</v>
      </c>
      <c r="I54" s="31">
        <f t="shared" si="3"/>
        <v>0</v>
      </c>
      <c r="J54" s="31">
        <f>Bilanca!I61</f>
        <v>1209246</v>
      </c>
      <c r="K54" s="31">
        <f>Bilanca!J61</f>
        <v>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12419988060.619997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t="str">
        <f>IF(Bilanca!H69=0,"",Bilanca!H69)</f>
        <v>21</v>
      </c>
      <c r="H62" s="30">
        <f t="shared" si="2"/>
        <v>737640.0599999999</v>
      </c>
      <c r="I62" s="31">
        <f t="shared" si="3"/>
        <v>0</v>
      </c>
      <c r="J62" s="31">
        <f>Bilanca!I69</f>
        <v>1209246</v>
      </c>
      <c r="K62" s="31">
        <f>Bilanca!J69</f>
        <v>0</v>
      </c>
    </row>
    <row r="63" spans="1:11" ht="12.75">
      <c r="A63" s="4" t="s">
        <v>777</v>
      </c>
      <c r="B63" s="29" t="str">
        <f>IF(ISNUMBER(VALUE(RefStr!L21)),TEXT(INT(VALUE(RefStr!L21)),"00000000000"),"")</f>
        <v>80072926694</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23</v>
      </c>
      <c r="H64" s="30">
        <f t="shared" si="2"/>
        <v>5805848.16</v>
      </c>
      <c r="I64" s="31">
        <f t="shared" si="3"/>
        <v>0</v>
      </c>
      <c r="J64" s="31">
        <f>Bilanca!I71</f>
        <v>3910692</v>
      </c>
      <c r="K64" s="31">
        <f>Bilanca!J71</f>
        <v>2652470</v>
      </c>
    </row>
    <row r="65" spans="1:11" ht="12.75">
      <c r="A65" s="4" t="s">
        <v>687</v>
      </c>
      <c r="B65" s="29" t="str">
        <f>RefStr!N19</f>
        <v>MSFI</v>
      </c>
      <c r="D65" s="4" t="s">
        <v>1521</v>
      </c>
      <c r="E65" s="4">
        <v>1</v>
      </c>
      <c r="F65" s="4">
        <f>Bilanca!G72</f>
        <v>64</v>
      </c>
      <c r="G65" s="4" t="str">
        <f>IF(Bilanca!H72=0,"",Bilanca!H72)</f>
        <v>22</v>
      </c>
      <c r="H65" s="30">
        <f t="shared" si="2"/>
        <v>2997837.44</v>
      </c>
      <c r="I65" s="31">
        <f t="shared" si="3"/>
        <v>0</v>
      </c>
      <c r="J65" s="31">
        <f>Bilanca!I72</f>
        <v>1021735</v>
      </c>
      <c r="K65" s="31">
        <f>Bilanca!J72</f>
        <v>1831193</v>
      </c>
    </row>
    <row r="66" spans="1:11" ht="12.75">
      <c r="A66" s="4" t="s">
        <v>688</v>
      </c>
      <c r="B66" s="29">
        <f>RefStr!C23</f>
        <v>1</v>
      </c>
      <c r="D66" s="4" t="s">
        <v>1521</v>
      </c>
      <c r="E66" s="4">
        <v>1</v>
      </c>
      <c r="F66" s="4">
        <f>Bilanca!G73</f>
        <v>65</v>
      </c>
      <c r="G66" s="4">
        <f>IF(Bilanca!H73=0,"",Bilanca!H73)</f>
      </c>
      <c r="H66" s="30">
        <f t="shared" si="2"/>
        <v>1225374404.15</v>
      </c>
      <c r="I66" s="31">
        <f t="shared" si="3"/>
        <v>0</v>
      </c>
      <c r="J66" s="31">
        <f>Bilanca!I73</f>
        <v>600459709</v>
      </c>
      <c r="K66" s="31">
        <f>Bilanca!J73</f>
        <v>642365841</v>
      </c>
    </row>
    <row r="67" spans="1:11" ht="12.75">
      <c r="A67" s="4" t="s">
        <v>689</v>
      </c>
      <c r="B67" s="29" t="str">
        <f>RefStr!L35</f>
        <v>051/241-203</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t="str">
        <f>IF(Bilanca!H76=0,"",Bilanca!H76)</f>
        <v>24</v>
      </c>
      <c r="H68" s="30">
        <f t="shared" si="2"/>
        <v>1056222295.96</v>
      </c>
      <c r="I68" s="31">
        <f t="shared" si="3"/>
        <v>0</v>
      </c>
      <c r="J68" s="31">
        <f>Bilanca!I76</f>
        <v>528304162</v>
      </c>
      <c r="K68" s="31">
        <f>Bilanca!J76</f>
        <v>524073513</v>
      </c>
    </row>
    <row r="69" spans="1:11" ht="12.75">
      <c r="A69" s="4" t="s">
        <v>691</v>
      </c>
      <c r="B69" s="29">
        <f>RefStr!M46</f>
        <v>0</v>
      </c>
      <c r="D69" s="4" t="s">
        <v>1521</v>
      </c>
      <c r="E69" s="4">
        <v>1</v>
      </c>
      <c r="F69" s="4">
        <f>Bilanca!G77</f>
        <v>68</v>
      </c>
      <c r="G69" s="4">
        <f>IF(Bilanca!H77=0,"",Bilanca!H77)</f>
      </c>
      <c r="H69" s="30">
        <f t="shared" si="2"/>
        <v>1002286047.6000001</v>
      </c>
      <c r="I69" s="31">
        <f t="shared" si="3"/>
        <v>0</v>
      </c>
      <c r="J69" s="31">
        <f>Bilanca!I77</f>
        <v>491316690</v>
      </c>
      <c r="K69" s="31">
        <f>Bilanca!J77</f>
        <v>491316690</v>
      </c>
    </row>
    <row r="70" spans="1:11" ht="12.75">
      <c r="A70" s="4" t="s">
        <v>692</v>
      </c>
      <c r="B70" s="29">
        <f>RefStr!C46</f>
        <v>0</v>
      </c>
      <c r="D70" s="4" t="s">
        <v>1521</v>
      </c>
      <c r="E70" s="4">
        <v>1</v>
      </c>
      <c r="F70" s="4">
        <f>Bilanca!G78</f>
        <v>69</v>
      </c>
      <c r="G70" s="4">
        <f>IF(Bilanca!H78=0,"",Bilanca!H78)</f>
      </c>
      <c r="H70" s="30">
        <f t="shared" si="2"/>
        <v>52580736.54</v>
      </c>
      <c r="I70" s="31">
        <f t="shared" si="3"/>
        <v>0</v>
      </c>
      <c r="J70" s="31">
        <f>Bilanca!I78</f>
        <v>25401322</v>
      </c>
      <c r="K70" s="31">
        <f>Bilanca!J78</f>
        <v>25401322</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25048306.349999998</v>
      </c>
      <c r="I82" s="31">
        <f t="shared" si="3"/>
        <v>0</v>
      </c>
      <c r="J82" s="31">
        <f>Bilanca!I90</f>
        <v>7751533</v>
      </c>
      <c r="K82" s="31">
        <f>Bilanca!J90</f>
        <v>11586151</v>
      </c>
    </row>
    <row r="83" spans="4:11" ht="12.75">
      <c r="D83" s="4" t="s">
        <v>1521</v>
      </c>
      <c r="E83" s="4">
        <v>1</v>
      </c>
      <c r="F83" s="4">
        <f>Bilanca!G91</f>
        <v>82</v>
      </c>
      <c r="G83" s="4">
        <f>IF(Bilanca!H91=0,"",Bilanca!H91)</f>
      </c>
      <c r="H83" s="30">
        <f t="shared" si="2"/>
        <v>25357544.700000003</v>
      </c>
      <c r="I83" s="31">
        <f t="shared" si="3"/>
        <v>0</v>
      </c>
      <c r="J83" s="31">
        <f>Bilanca!I91</f>
        <v>7751533</v>
      </c>
      <c r="K83" s="31">
        <f>Bilanca!J91</f>
        <v>11586151</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-3886413.72</v>
      </c>
      <c r="I85" s="31">
        <f>ABS(ROUND(J85,0)-J85)+ABS(ROUND(K85,0)-K85)</f>
        <v>0</v>
      </c>
      <c r="J85" s="31">
        <f>Bilanca!I93</f>
        <v>3834617</v>
      </c>
      <c r="K85" s="31">
        <f>Bilanca!J93</f>
        <v>-4230650</v>
      </c>
    </row>
    <row r="86" spans="4:11" ht="12.75">
      <c r="D86" s="4" t="s">
        <v>1521</v>
      </c>
      <c r="E86" s="4">
        <v>1</v>
      </c>
      <c r="F86" s="4">
        <f>Bilanca!G94</f>
        <v>85</v>
      </c>
      <c r="G86" s="4">
        <f>IF(Bilanca!H94=0,"",Bilanca!H94)</f>
      </c>
      <c r="H86" s="30">
        <f>J86/100*F86+2*K86/100*F86</f>
        <v>3259424.4499999997</v>
      </c>
      <c r="I86" s="31">
        <f>ABS(ROUND(J86,0)-J86)+ABS(ROUND(K86,0)-K86)</f>
        <v>0</v>
      </c>
      <c r="J86" s="31">
        <f>Bilanca!I94</f>
        <v>3834617</v>
      </c>
      <c r="K86" s="31">
        <f>Bilanca!J94</f>
        <v>0</v>
      </c>
    </row>
    <row r="87" spans="4:11" ht="12.75">
      <c r="D87" s="4" t="s">
        <v>1521</v>
      </c>
      <c r="E87" s="4">
        <v>1</v>
      </c>
      <c r="F87" s="4">
        <f>Bilanca!G95</f>
        <v>86</v>
      </c>
      <c r="G87" s="4">
        <f>IF(Bilanca!H95=0,"",Bilanca!H95)</f>
      </c>
      <c r="H87" s="30">
        <f aca="true" t="shared" si="4" ref="H87:H127">J87/100*F87+2*K87/100*F87</f>
        <v>7276718</v>
      </c>
      <c r="I87" s="31">
        <f aca="true" t="shared" si="5" ref="I87:I127">ABS(ROUND(J87,0)-J87)+ABS(ROUND(K87,0)-K87)</f>
        <v>0</v>
      </c>
      <c r="J87" s="31">
        <f>Bilanca!I95</f>
        <v>0</v>
      </c>
      <c r="K87" s="31">
        <f>Bilanca!J95</f>
        <v>4230650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t="str">
        <f>IF(Bilanca!H97=0,"",Bilanca!H97)</f>
        <v>25</v>
      </c>
      <c r="H89" s="30">
        <f t="shared" si="4"/>
        <v>2296339.76</v>
      </c>
      <c r="I89" s="31">
        <f t="shared" si="5"/>
        <v>0</v>
      </c>
      <c r="J89" s="31">
        <f>Bilanca!I97</f>
        <v>839413</v>
      </c>
      <c r="K89" s="31">
        <f>Bilanca!J97</f>
        <v>885032</v>
      </c>
    </row>
    <row r="90" spans="4:11" ht="12.75">
      <c r="D90" s="4" t="s">
        <v>1521</v>
      </c>
      <c r="E90" s="4">
        <v>1</v>
      </c>
      <c r="F90" s="4">
        <f>Bilanca!G98</f>
        <v>89</v>
      </c>
      <c r="G90" s="4">
        <f>IF(Bilanca!H98=0,"",Bilanca!H98)</f>
      </c>
      <c r="H90" s="30">
        <f t="shared" si="4"/>
        <v>1130306.23</v>
      </c>
      <c r="I90" s="31">
        <f t="shared" si="5"/>
        <v>0</v>
      </c>
      <c r="J90" s="31">
        <f>Bilanca!I98</f>
        <v>392923</v>
      </c>
      <c r="K90" s="31">
        <f>Bilanca!J98</f>
        <v>438542</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1218917.7</v>
      </c>
      <c r="I92" s="31">
        <f t="shared" si="5"/>
        <v>0</v>
      </c>
      <c r="J92" s="31">
        <f>Bilanca!I100</f>
        <v>446490</v>
      </c>
      <c r="K92" s="31">
        <f>Bilanca!J100</f>
        <v>446490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227537024.15</v>
      </c>
      <c r="I96" s="31">
        <f t="shared" si="5"/>
        <v>0</v>
      </c>
      <c r="J96" s="31">
        <f>Bilanca!I104</f>
        <v>52538665</v>
      </c>
      <c r="K96" s="31">
        <f>Bilanca!J104</f>
        <v>93486996</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26</v>
      </c>
      <c r="H102" s="30">
        <f t="shared" si="4"/>
        <v>215008129.36</v>
      </c>
      <c r="I102" s="31">
        <f t="shared" si="5"/>
        <v>0</v>
      </c>
      <c r="J102" s="31">
        <f>Bilanca!I110</f>
        <v>43008026</v>
      </c>
      <c r="K102" s="31">
        <f>Bilanca!J110</f>
        <v>84935655</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t="str">
        <f>IF(Bilanca!H114=0,"",Bilanca!H114)</f>
        <v>27</v>
      </c>
      <c r="H106" s="30">
        <f t="shared" si="4"/>
        <v>27964987.05</v>
      </c>
      <c r="I106" s="31">
        <f t="shared" si="5"/>
        <v>0</v>
      </c>
      <c r="J106" s="31">
        <f>Bilanca!I114</f>
        <v>9530639</v>
      </c>
      <c r="K106" s="31">
        <f>Bilanca!J114</f>
        <v>8551341</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63010687.50999999</v>
      </c>
      <c r="I108" s="31">
        <f t="shared" si="5"/>
        <v>0</v>
      </c>
      <c r="J108" s="31">
        <f>Bilanca!I116</f>
        <v>14757483</v>
      </c>
      <c r="K108" s="31">
        <f>Bilanca!J116</f>
        <v>22065505</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t="str">
        <f>IF(Bilanca!H121=0,"",Bilanca!H121)</f>
        <v>29</v>
      </c>
      <c r="H113" s="30">
        <f t="shared" si="4"/>
        <v>1630599.04</v>
      </c>
      <c r="I113" s="31">
        <f t="shared" si="5"/>
        <v>0</v>
      </c>
      <c r="J113" s="31">
        <f>Bilanca!I121</f>
        <v>454000</v>
      </c>
      <c r="K113" s="31">
        <f>Bilanca!J121</f>
        <v>500946</v>
      </c>
    </row>
    <row r="114" spans="4:11" ht="12.75">
      <c r="D114" s="4" t="s">
        <v>1521</v>
      </c>
      <c r="E114" s="4">
        <v>1</v>
      </c>
      <c r="F114" s="4">
        <f>Bilanca!G122</f>
        <v>113</v>
      </c>
      <c r="G114" s="4" t="str">
        <f>IF(Bilanca!H122=0,"",Bilanca!H122)</f>
        <v>32</v>
      </c>
      <c r="H114" s="30">
        <f t="shared" si="4"/>
        <v>13158108.719999999</v>
      </c>
      <c r="I114" s="31">
        <f t="shared" si="5"/>
        <v>0</v>
      </c>
      <c r="J114" s="31">
        <f>Bilanca!I122</f>
        <v>2737182</v>
      </c>
      <c r="K114" s="31">
        <f>Bilanca!J122</f>
        <v>4453581</v>
      </c>
    </row>
    <row r="115" spans="4:11" ht="12.75">
      <c r="D115" s="4" t="s">
        <v>1521</v>
      </c>
      <c r="E115" s="4">
        <v>1</v>
      </c>
      <c r="F115" s="4">
        <f>Bilanca!G123</f>
        <v>114</v>
      </c>
      <c r="G115" s="4" t="str">
        <f>IF(Bilanca!H123=0,"",Bilanca!H123)</f>
        <v>29</v>
      </c>
      <c r="H115" s="30">
        <f t="shared" si="4"/>
        <v>11905658.4</v>
      </c>
      <c r="I115" s="31">
        <f t="shared" si="5"/>
        <v>0</v>
      </c>
      <c r="J115" s="31">
        <f>Bilanca!I123</f>
        <v>3092816</v>
      </c>
      <c r="K115" s="31">
        <f>Bilanca!J123</f>
        <v>3675372</v>
      </c>
    </row>
    <row r="116" spans="4:11" ht="12.75">
      <c r="D116" s="4" t="s">
        <v>1521</v>
      </c>
      <c r="E116" s="4">
        <v>1</v>
      </c>
      <c r="F116" s="4">
        <f>Bilanca!G124</f>
        <v>115</v>
      </c>
      <c r="G116" s="4" t="str">
        <f>IF(Bilanca!H124=0,"",Bilanca!H124)</f>
        <v>28</v>
      </c>
      <c r="H116" s="30">
        <f t="shared" si="4"/>
        <v>28902009.3</v>
      </c>
      <c r="I116" s="31">
        <f t="shared" si="5"/>
        <v>0</v>
      </c>
      <c r="J116" s="31">
        <f>Bilanca!I124</f>
        <v>5597262</v>
      </c>
      <c r="K116" s="31">
        <f>Bilanca!J124</f>
        <v>9767460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30</v>
      </c>
      <c r="H118" s="30">
        <f t="shared" si="4"/>
        <v>4171033.62</v>
      </c>
      <c r="I118" s="31">
        <f t="shared" si="5"/>
        <v>0</v>
      </c>
      <c r="J118" s="31">
        <f>Bilanca!I126</f>
        <v>970188</v>
      </c>
      <c r="K118" s="31">
        <f>Bilanca!J126</f>
        <v>1297399</v>
      </c>
    </row>
    <row r="119" spans="4:11" ht="12.75">
      <c r="D119" s="4" t="s">
        <v>1521</v>
      </c>
      <c r="E119" s="4">
        <v>1</v>
      </c>
      <c r="F119" s="4">
        <f>Bilanca!G127</f>
        <v>118</v>
      </c>
      <c r="G119" s="4" t="str">
        <f>IF(Bilanca!H127=0,"",Bilanca!H127)</f>
        <v>31</v>
      </c>
      <c r="H119" s="30">
        <f t="shared" si="4"/>
        <v>4704053.48</v>
      </c>
      <c r="I119" s="31">
        <f t="shared" si="5"/>
        <v>0</v>
      </c>
      <c r="J119" s="31">
        <f>Bilanca!I127</f>
        <v>1870596</v>
      </c>
      <c r="K119" s="31">
        <f>Bilanca!J127</f>
        <v>1057945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33</v>
      </c>
      <c r="H122" s="30">
        <f t="shared" si="4"/>
        <v>3219862.0300000003</v>
      </c>
      <c r="I122" s="31">
        <f t="shared" si="5"/>
        <v>0</v>
      </c>
      <c r="J122" s="31">
        <f>Bilanca!I130</f>
        <v>35439</v>
      </c>
      <c r="K122" s="31">
        <f>Bilanca!J130</f>
        <v>1312802</v>
      </c>
    </row>
    <row r="123" spans="4:11" ht="12.75">
      <c r="D123" s="4" t="s">
        <v>1521</v>
      </c>
      <c r="E123" s="4">
        <v>1</v>
      </c>
      <c r="F123" s="4">
        <f>Bilanca!G131</f>
        <v>122</v>
      </c>
      <c r="G123" s="4" t="str">
        <f>IF(Bilanca!H131=0,"",Bilanca!H131)</f>
        <v>33</v>
      </c>
      <c r="H123" s="30">
        <f t="shared" si="4"/>
        <v>9430082.719999999</v>
      </c>
      <c r="I123" s="31">
        <f t="shared" si="5"/>
        <v>0</v>
      </c>
      <c r="J123" s="31">
        <f>Bilanca!I131</f>
        <v>4019986</v>
      </c>
      <c r="K123" s="31">
        <f>Bilanca!J131</f>
        <v>1854795</v>
      </c>
    </row>
    <row r="124" spans="4:11" ht="12.75">
      <c r="D124" s="4" t="s">
        <v>1521</v>
      </c>
      <c r="E124" s="4">
        <v>1</v>
      </c>
      <c r="F124" s="4">
        <f>Bilanca!G132</f>
        <v>123</v>
      </c>
      <c r="G124" s="4">
        <f>IF(Bilanca!H132=0,"",Bilanca!H132)</f>
      </c>
      <c r="H124" s="30">
        <f t="shared" si="4"/>
        <v>2318785410.9300003</v>
      </c>
      <c r="I124" s="31">
        <f t="shared" si="5"/>
        <v>0</v>
      </c>
      <c r="J124" s="31">
        <f>Bilanca!I132</f>
        <v>600459709</v>
      </c>
      <c r="K124" s="31">
        <f>Bilanca!J132</f>
        <v>642365841</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313707995</v>
      </c>
      <c r="I126" s="4">
        <f t="shared" si="5"/>
        <v>0</v>
      </c>
      <c r="J126" s="31">
        <f>RDG!I8</f>
        <v>83584242</v>
      </c>
      <c r="K126" s="31">
        <f>RDG!J8</f>
        <v>83691077</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5</v>
      </c>
      <c r="H128" s="30">
        <f aca="true" t="shared" si="6" ref="H128:H190">J128/100*F128+2*K128/100*F128</f>
        <v>288191533.09</v>
      </c>
      <c r="I128" s="4">
        <f aca="true" t="shared" si="7" ref="I128:I190">ABS(ROUND(J128,0)-J128)+ABS(ROUND(K128,0)-K128)</f>
        <v>0</v>
      </c>
      <c r="J128" s="31">
        <f>RDG!I10</f>
        <v>67833349</v>
      </c>
      <c r="K128" s="31">
        <f>RDG!J10</f>
        <v>79544559</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6</v>
      </c>
      <c r="H131" s="30">
        <f t="shared" si="6"/>
        <v>31257107.7</v>
      </c>
      <c r="I131" s="4">
        <f t="shared" si="7"/>
        <v>0</v>
      </c>
      <c r="J131" s="31">
        <f>RDG!I13</f>
        <v>15750893</v>
      </c>
      <c r="K131" s="31">
        <f>RDG!J13</f>
        <v>4146518</v>
      </c>
    </row>
    <row r="132" spans="4:11" ht="12.75">
      <c r="D132" s="4" t="s">
        <v>541</v>
      </c>
      <c r="E132" s="4">
        <v>2</v>
      </c>
      <c r="F132" s="4">
        <f>RDG!G14</f>
        <v>131</v>
      </c>
      <c r="G132" s="4">
        <f>IF(RDG!H14=0,"",RDG!H14)</f>
      </c>
      <c r="H132" s="30">
        <f t="shared" si="6"/>
        <v>325217386.56999993</v>
      </c>
      <c r="I132" s="4">
        <f t="shared" si="7"/>
        <v>0</v>
      </c>
      <c r="J132" s="31">
        <f>RDG!I14</f>
        <v>77809283</v>
      </c>
      <c r="K132" s="31">
        <f>RDG!J14</f>
        <v>85224132</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154757019.13</v>
      </c>
      <c r="I134" s="4">
        <f t="shared" si="7"/>
        <v>0</v>
      </c>
      <c r="J134" s="31">
        <f>RDG!I16</f>
        <v>35848455</v>
      </c>
      <c r="K134" s="31">
        <f>RDG!J16</f>
        <v>40255103</v>
      </c>
    </row>
    <row r="135" spans="4:11" ht="12.75">
      <c r="D135" s="4" t="s">
        <v>541</v>
      </c>
      <c r="E135" s="4">
        <v>2</v>
      </c>
      <c r="F135" s="4">
        <f>RDG!G17</f>
        <v>134</v>
      </c>
      <c r="G135" s="4" t="str">
        <f>IF(RDG!H17=0,"",RDG!H17)</f>
        <v>7</v>
      </c>
      <c r="H135" s="30">
        <f t="shared" si="6"/>
        <v>79693037.44</v>
      </c>
      <c r="I135" s="4">
        <f t="shared" si="7"/>
        <v>0</v>
      </c>
      <c r="J135" s="31">
        <f>RDG!I17</f>
        <v>18621778</v>
      </c>
      <c r="K135" s="31">
        <f>RDG!J17</f>
        <v>20425319</v>
      </c>
    </row>
    <row r="136" spans="4:11" ht="12.75">
      <c r="D136" s="4" t="s">
        <v>541</v>
      </c>
      <c r="E136" s="4">
        <v>2</v>
      </c>
      <c r="F136" s="4">
        <f>RDG!G18</f>
        <v>135</v>
      </c>
      <c r="G136" s="4">
        <f>IF(RDG!H18=0,"",RDG!H18)</f>
      </c>
      <c r="H136" s="30">
        <f t="shared" si="6"/>
        <v>424442.70000000007</v>
      </c>
      <c r="I136" s="4">
        <f t="shared" si="7"/>
        <v>0</v>
      </c>
      <c r="J136" s="31">
        <f>RDG!I18</f>
        <v>109316</v>
      </c>
      <c r="K136" s="31">
        <f>RDG!J18</f>
        <v>102543</v>
      </c>
    </row>
    <row r="137" spans="4:11" ht="12.75">
      <c r="D137" s="4" t="s">
        <v>541</v>
      </c>
      <c r="E137" s="4">
        <v>2</v>
      </c>
      <c r="F137" s="4">
        <f>RDG!G19</f>
        <v>136</v>
      </c>
      <c r="G137" s="4" t="str">
        <f>IF(RDG!H19=0,"",RDG!H19)</f>
        <v>8</v>
      </c>
      <c r="H137" s="30">
        <f t="shared" si="6"/>
        <v>76937706.48</v>
      </c>
      <c r="I137" s="4">
        <f t="shared" si="7"/>
        <v>0</v>
      </c>
      <c r="J137" s="31">
        <f>RDG!I19</f>
        <v>17117361</v>
      </c>
      <c r="K137" s="31">
        <f>RDG!J19</f>
        <v>19727241</v>
      </c>
    </row>
    <row r="138" spans="4:11" ht="12.75">
      <c r="D138" s="4" t="s">
        <v>541</v>
      </c>
      <c r="E138" s="4">
        <v>2</v>
      </c>
      <c r="F138" s="4">
        <f>RDG!G20</f>
        <v>137</v>
      </c>
      <c r="G138" s="4" t="str">
        <f>IF(RDG!H20=0,"",RDG!H20)</f>
        <v>9</v>
      </c>
      <c r="H138" s="30">
        <f t="shared" si="6"/>
        <v>108398440.13</v>
      </c>
      <c r="I138" s="4">
        <f t="shared" si="7"/>
        <v>0</v>
      </c>
      <c r="J138" s="31">
        <f>RDG!I20</f>
        <v>22576409</v>
      </c>
      <c r="K138" s="31">
        <f>RDG!J20</f>
        <v>28273270</v>
      </c>
    </row>
    <row r="139" spans="4:11" ht="12.75">
      <c r="D139" s="4" t="s">
        <v>541</v>
      </c>
      <c r="E139" s="4">
        <v>2</v>
      </c>
      <c r="F139" s="4">
        <f>RDG!G21</f>
        <v>138</v>
      </c>
      <c r="G139" s="4">
        <f>IF(RDG!H21=0,"",RDG!H21)</f>
      </c>
      <c r="H139" s="30">
        <f t="shared" si="6"/>
        <v>71741922</v>
      </c>
      <c r="I139" s="4">
        <f t="shared" si="7"/>
        <v>0</v>
      </c>
      <c r="J139" s="31">
        <f>RDG!I21</f>
        <v>14728470</v>
      </c>
      <c r="K139" s="31">
        <f>RDG!J21</f>
        <v>18629215</v>
      </c>
    </row>
    <row r="140" spans="4:11" ht="12.75">
      <c r="D140" s="4" t="s">
        <v>541</v>
      </c>
      <c r="E140" s="4">
        <v>2</v>
      </c>
      <c r="F140" s="4">
        <f>RDG!G22</f>
        <v>139</v>
      </c>
      <c r="G140" s="4">
        <f>IF(RDG!H22=0,"",RDG!H22)</f>
      </c>
      <c r="H140" s="30">
        <f t="shared" si="6"/>
        <v>22985356.92</v>
      </c>
      <c r="I140" s="4">
        <f t="shared" si="7"/>
        <v>0</v>
      </c>
      <c r="J140" s="31">
        <f>RDG!I22</f>
        <v>4817694</v>
      </c>
      <c r="K140" s="31">
        <f>RDG!J22</f>
        <v>5859267</v>
      </c>
    </row>
    <row r="141" spans="4:11" ht="12.75">
      <c r="D141" s="4" t="s">
        <v>541</v>
      </c>
      <c r="E141" s="4">
        <v>2</v>
      </c>
      <c r="F141" s="4">
        <f>RDG!G23</f>
        <v>140</v>
      </c>
      <c r="G141" s="4">
        <f>IF(RDG!H23=0,"",RDG!H23)</f>
      </c>
      <c r="H141" s="30">
        <f t="shared" si="6"/>
        <v>14839749.399999999</v>
      </c>
      <c r="I141" s="4">
        <f t="shared" si="7"/>
        <v>0</v>
      </c>
      <c r="J141" s="31">
        <f>RDG!I23</f>
        <v>3030245</v>
      </c>
      <c r="K141" s="31">
        <f>RDG!J23</f>
        <v>3784788</v>
      </c>
    </row>
    <row r="142" spans="4:11" ht="12.75">
      <c r="D142" s="4" t="s">
        <v>541</v>
      </c>
      <c r="E142" s="4">
        <v>2</v>
      </c>
      <c r="F142" s="4">
        <f>RDG!G24</f>
        <v>141</v>
      </c>
      <c r="G142" s="4">
        <f>IF(RDG!H24=0,"",RDG!H24)</f>
      </c>
      <c r="H142" s="30">
        <f t="shared" si="6"/>
        <v>38383664.370000005</v>
      </c>
      <c r="I142" s="4">
        <f t="shared" si="7"/>
        <v>0</v>
      </c>
      <c r="J142" s="31">
        <f>RDG!I24</f>
        <v>8109023</v>
      </c>
      <c r="K142" s="31">
        <f>RDG!J24</f>
        <v>9556717</v>
      </c>
    </row>
    <row r="143" spans="4:11" ht="12.75">
      <c r="D143" s="4" t="s">
        <v>541</v>
      </c>
      <c r="E143" s="4">
        <v>2</v>
      </c>
      <c r="F143" s="4">
        <f>RDG!G25</f>
        <v>142</v>
      </c>
      <c r="G143" s="4" t="str">
        <f>IF(RDG!H25=0,"",RDG!H25)</f>
        <v>12</v>
      </c>
      <c r="H143" s="30">
        <f t="shared" si="6"/>
        <v>27069974.04</v>
      </c>
      <c r="I143" s="4">
        <f t="shared" si="7"/>
        <v>0</v>
      </c>
      <c r="J143" s="31">
        <f>RDG!I25</f>
        <v>6598714</v>
      </c>
      <c r="K143" s="31">
        <f>RDG!J25</f>
        <v>6232324</v>
      </c>
    </row>
    <row r="144" spans="4:11" ht="12.75">
      <c r="D144" s="4" t="s">
        <v>541</v>
      </c>
      <c r="E144" s="4">
        <v>2</v>
      </c>
      <c r="F144" s="4">
        <f>RDG!G26</f>
        <v>143</v>
      </c>
      <c r="G144" s="4" t="str">
        <f>IF(RDG!H26=0,"",RDG!H26)</f>
        <v>11</v>
      </c>
      <c r="H144" s="30">
        <f t="shared" si="6"/>
        <v>2975448.1900000004</v>
      </c>
      <c r="I144" s="4">
        <f t="shared" si="7"/>
        <v>0</v>
      </c>
      <c r="J144" s="31">
        <f>RDG!I26</f>
        <v>1866449</v>
      </c>
      <c r="K144" s="31">
        <f>RDG!J26</f>
        <v>107142</v>
      </c>
    </row>
    <row r="145" spans="4:11" ht="12.75">
      <c r="D145" s="4" t="s">
        <v>541</v>
      </c>
      <c r="E145" s="4">
        <v>2</v>
      </c>
      <c r="F145" s="4">
        <f>RDG!G27</f>
        <v>144</v>
      </c>
      <c r="G145" s="4">
        <f>IF(RDG!H27=0,"",RDG!H27)</f>
      </c>
      <c r="H145" s="30">
        <f t="shared" si="6"/>
        <v>2070374.4000000001</v>
      </c>
      <c r="I145" s="4">
        <f t="shared" si="7"/>
        <v>0</v>
      </c>
      <c r="J145" s="31">
        <f>RDG!I27</f>
        <v>1437760</v>
      </c>
      <c r="K145" s="31">
        <f>RDG!J27</f>
        <v>0</v>
      </c>
    </row>
    <row r="146" spans="4:11" ht="12.75">
      <c r="D146" s="4" t="s">
        <v>541</v>
      </c>
      <c r="E146" s="4">
        <v>2</v>
      </c>
      <c r="F146" s="4">
        <f>RDG!G28</f>
        <v>145</v>
      </c>
      <c r="G146" s="4">
        <f>IF(RDG!H28=0,"",RDG!H28)</f>
      </c>
      <c r="H146" s="30">
        <f t="shared" si="6"/>
        <v>932310.8500000001</v>
      </c>
      <c r="I146" s="4">
        <f t="shared" si="7"/>
        <v>0</v>
      </c>
      <c r="J146" s="31">
        <f>RDG!I28</f>
        <v>428689</v>
      </c>
      <c r="K146" s="31">
        <f>RDG!J28</f>
        <v>107142</v>
      </c>
    </row>
    <row r="147" spans="4:11" ht="12.75">
      <c r="D147" s="4" t="s">
        <v>541</v>
      </c>
      <c r="E147" s="4">
        <v>2</v>
      </c>
      <c r="F147" s="4">
        <f>RDG!G29</f>
        <v>146</v>
      </c>
      <c r="G147" s="4" t="str">
        <f>IF(RDG!H29=0,"",RDG!H29)</f>
        <v>10</v>
      </c>
      <c r="H147" s="30">
        <f t="shared" si="6"/>
        <v>2907573.9400000004</v>
      </c>
      <c r="I147" s="4">
        <f t="shared" si="7"/>
        <v>0</v>
      </c>
      <c r="J147" s="31">
        <f>RDG!I29</f>
        <v>978735</v>
      </c>
      <c r="K147" s="31">
        <f>RDG!J29</f>
        <v>506377</v>
      </c>
    </row>
    <row r="148" spans="4:11" ht="12.75">
      <c r="D148" s="4" t="s">
        <v>541</v>
      </c>
      <c r="E148" s="4">
        <v>2</v>
      </c>
      <c r="F148" s="4">
        <f>RDG!G30</f>
        <v>147</v>
      </c>
      <c r="G148" s="4">
        <f>IF(RDG!H30=0,"",RDG!H30)</f>
      </c>
      <c r="H148" s="30">
        <f t="shared" si="6"/>
        <v>155690.63999999998</v>
      </c>
      <c r="I148" s="4">
        <f t="shared" si="7"/>
        <v>0</v>
      </c>
      <c r="J148" s="31">
        <f>RDG!I30</f>
        <v>14674</v>
      </c>
      <c r="K148" s="31">
        <f>RDG!J30</f>
        <v>45619</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2866077.04</v>
      </c>
      <c r="I153" s="4">
        <f t="shared" si="7"/>
        <v>0</v>
      </c>
      <c r="J153" s="31">
        <f>RDG!I35</f>
        <v>964061</v>
      </c>
      <c r="K153" s="31">
        <f>RDG!J35</f>
        <v>460758</v>
      </c>
    </row>
    <row r="154" spans="4:11" ht="12.75">
      <c r="D154" s="4" t="s">
        <v>541</v>
      </c>
      <c r="E154" s="4">
        <v>2</v>
      </c>
      <c r="F154" s="4">
        <f>RDG!G36</f>
        <v>153</v>
      </c>
      <c r="G154" s="4" t="str">
        <f>IF(RDG!H36=0,"",RDG!H36)</f>
        <v>12</v>
      </c>
      <c r="H154" s="30">
        <f t="shared" si="6"/>
        <v>3699380.88</v>
      </c>
      <c r="I154" s="4">
        <f t="shared" si="7"/>
        <v>0</v>
      </c>
      <c r="J154" s="31">
        <f>RDG!I36</f>
        <v>1831498</v>
      </c>
      <c r="K154" s="31">
        <f>RDG!J36</f>
        <v>293199</v>
      </c>
    </row>
    <row r="155" spans="4:11" ht="12.75">
      <c r="D155" s="4" t="s">
        <v>541</v>
      </c>
      <c r="E155" s="4">
        <v>2</v>
      </c>
      <c r="F155" s="4">
        <f>RDG!G37</f>
        <v>154</v>
      </c>
      <c r="G155" s="4" t="str">
        <f>IF(RDG!H37=0,"",RDG!H37)</f>
        <v>13</v>
      </c>
      <c r="H155" s="30">
        <f t="shared" si="6"/>
        <v>5059934.88</v>
      </c>
      <c r="I155" s="4">
        <f t="shared" si="7"/>
        <v>0</v>
      </c>
      <c r="J155" s="31">
        <f>RDG!I37</f>
        <v>510530</v>
      </c>
      <c r="K155" s="31">
        <f>RDG!J37</f>
        <v>1387571</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172508.28</v>
      </c>
      <c r="I162" s="4">
        <f t="shared" si="7"/>
        <v>0</v>
      </c>
      <c r="J162" s="31">
        <f>RDG!I44</f>
        <v>35990</v>
      </c>
      <c r="K162" s="31">
        <f>RDG!J44</f>
        <v>35579</v>
      </c>
    </row>
    <row r="163" spans="4:11" ht="12.75">
      <c r="D163" s="4" t="s">
        <v>541</v>
      </c>
      <c r="E163" s="4">
        <v>2</v>
      </c>
      <c r="F163" s="4">
        <f>RDG!G45</f>
        <v>162</v>
      </c>
      <c r="G163" s="4">
        <f>IF(RDG!H45=0,"",RDG!H45)</f>
      </c>
      <c r="H163" s="30">
        <f t="shared" si="6"/>
        <v>4732583.76</v>
      </c>
      <c r="I163" s="4">
        <f t="shared" si="7"/>
        <v>0</v>
      </c>
      <c r="J163" s="31">
        <f>RDG!I45</f>
        <v>380196</v>
      </c>
      <c r="K163" s="31">
        <f>RDG!J45</f>
        <v>1270576</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421768.64</v>
      </c>
      <c r="I165" s="4">
        <f t="shared" si="7"/>
        <v>0</v>
      </c>
      <c r="J165" s="31">
        <f>RDG!I47</f>
        <v>94344</v>
      </c>
      <c r="K165" s="31">
        <f>RDG!J47</f>
        <v>81416</v>
      </c>
    </row>
    <row r="166" spans="4:11" ht="12.75">
      <c r="D166" s="4" t="s">
        <v>541</v>
      </c>
      <c r="E166" s="4">
        <v>2</v>
      </c>
      <c r="F166" s="4">
        <f>RDG!G48</f>
        <v>165</v>
      </c>
      <c r="G166" s="4" t="str">
        <f>IF(RDG!H48=0,"",RDG!H48)</f>
        <v>13</v>
      </c>
      <c r="H166" s="30">
        <f t="shared" si="6"/>
        <v>15852769.350000001</v>
      </c>
      <c r="I166" s="4">
        <f t="shared" si="7"/>
        <v>0</v>
      </c>
      <c r="J166" s="31">
        <f>RDG!I48</f>
        <v>1437407</v>
      </c>
      <c r="K166" s="31">
        <f>RDG!J48</f>
        <v>4085166</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10870450.08</v>
      </c>
      <c r="I169" s="4">
        <f t="shared" si="7"/>
        <v>0</v>
      </c>
      <c r="J169" s="31">
        <f>RDG!I51</f>
        <v>989990</v>
      </c>
      <c r="K169" s="31">
        <f>RDG!J51</f>
        <v>2740258</v>
      </c>
    </row>
    <row r="170" spans="4:11" ht="12.75">
      <c r="D170" s="4" t="s">
        <v>541</v>
      </c>
      <c r="E170" s="4">
        <v>2</v>
      </c>
      <c r="F170" s="4">
        <f>RDG!G52</f>
        <v>169</v>
      </c>
      <c r="G170" s="4">
        <f>IF(RDG!H52=0,"",RDG!H52)</f>
      </c>
      <c r="H170" s="30">
        <f t="shared" si="6"/>
        <v>5301923.77</v>
      </c>
      <c r="I170" s="4">
        <f t="shared" si="7"/>
        <v>0</v>
      </c>
      <c r="J170" s="31">
        <f>RDG!I52</f>
        <v>447417</v>
      </c>
      <c r="K170" s="31">
        <f>RDG!J52</f>
        <v>1344908</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450026160.36</v>
      </c>
      <c r="I178" s="4">
        <f t="shared" si="7"/>
        <v>0</v>
      </c>
      <c r="J178" s="31">
        <f>RDG!I60</f>
        <v>84094772</v>
      </c>
      <c r="K178" s="31">
        <f>RDG!J60</f>
        <v>85078648</v>
      </c>
    </row>
    <row r="179" spans="4:11" ht="12.75">
      <c r="D179" s="4" t="s">
        <v>541</v>
      </c>
      <c r="E179" s="4">
        <v>2</v>
      </c>
      <c r="F179" s="4">
        <f>RDG!G61</f>
        <v>178</v>
      </c>
      <c r="G179" s="4">
        <f>IF(RDG!H61=0,"",RDG!H61)</f>
      </c>
      <c r="H179" s="30">
        <f t="shared" si="6"/>
        <v>459000209.08000004</v>
      </c>
      <c r="I179" s="4">
        <f t="shared" si="7"/>
        <v>0</v>
      </c>
      <c r="J179" s="31">
        <f>RDG!I61</f>
        <v>79246690</v>
      </c>
      <c r="K179" s="31">
        <f>RDG!J61</f>
        <v>89309298</v>
      </c>
    </row>
    <row r="180" spans="4:11" ht="12.75">
      <c r="D180" s="4" t="s">
        <v>541</v>
      </c>
      <c r="E180" s="4">
        <v>2</v>
      </c>
      <c r="F180" s="4">
        <f>RDG!G62</f>
        <v>179</v>
      </c>
      <c r="G180" s="4">
        <f>IF(RDG!H62=0,"",RDG!H62)</f>
      </c>
      <c r="H180" s="30">
        <f t="shared" si="6"/>
        <v>-6467660.220000001</v>
      </c>
      <c r="I180" s="4">
        <f t="shared" si="7"/>
        <v>0</v>
      </c>
      <c r="J180" s="31">
        <f>RDG!I62</f>
        <v>4848082</v>
      </c>
      <c r="K180" s="31">
        <f>RDG!J62</f>
        <v>-4230650</v>
      </c>
    </row>
    <row r="181" spans="4:11" ht="12.75">
      <c r="D181" s="4" t="s">
        <v>541</v>
      </c>
      <c r="E181" s="4">
        <v>2</v>
      </c>
      <c r="F181" s="4">
        <f>RDG!G63</f>
        <v>180</v>
      </c>
      <c r="G181" s="4">
        <f>IF(RDG!H63=0,"",RDG!H63)</f>
      </c>
      <c r="H181" s="30">
        <f t="shared" si="6"/>
        <v>8726547.6</v>
      </c>
      <c r="I181" s="4">
        <f t="shared" si="7"/>
        <v>0</v>
      </c>
      <c r="J181" s="31">
        <f>RDG!I63</f>
        <v>4848082</v>
      </c>
      <c r="K181" s="31">
        <f>RDG!J63</f>
        <v>0</v>
      </c>
    </row>
    <row r="182" spans="4:11" ht="12.75">
      <c r="D182" s="4" t="s">
        <v>541</v>
      </c>
      <c r="E182" s="4">
        <v>2</v>
      </c>
      <c r="F182" s="4">
        <f>RDG!G64</f>
        <v>181</v>
      </c>
      <c r="G182" s="4">
        <f>IF(RDG!H64=0,"",RDG!H64)</f>
      </c>
      <c r="H182" s="30">
        <f t="shared" si="6"/>
        <v>15314953</v>
      </c>
      <c r="I182" s="4">
        <f t="shared" si="7"/>
        <v>0</v>
      </c>
      <c r="J182" s="31">
        <f>RDG!I64</f>
        <v>0</v>
      </c>
      <c r="K182" s="31">
        <f>RDG!J64</f>
        <v>4230650</v>
      </c>
    </row>
    <row r="183" spans="4:11" ht="12.75">
      <c r="D183" s="4" t="s">
        <v>541</v>
      </c>
      <c r="E183" s="4">
        <v>2</v>
      </c>
      <c r="F183" s="4">
        <f>RDG!G65</f>
        <v>182</v>
      </c>
      <c r="G183" s="4" t="str">
        <f>IF(RDG!H65=0,"",RDG!H65)</f>
        <v>14</v>
      </c>
      <c r="H183" s="30">
        <f t="shared" si="6"/>
        <v>1844504.48</v>
      </c>
      <c r="I183" s="4">
        <f t="shared" si="7"/>
        <v>0</v>
      </c>
      <c r="J183" s="31">
        <f>RDG!I65</f>
        <v>1013464</v>
      </c>
      <c r="K183" s="31">
        <f>RDG!J65</f>
        <v>0</v>
      </c>
    </row>
    <row r="184" spans="4:11" ht="12.75">
      <c r="D184" s="4" t="s">
        <v>541</v>
      </c>
      <c r="E184" s="4">
        <v>2</v>
      </c>
      <c r="F184" s="4">
        <f>RDG!G66</f>
        <v>183</v>
      </c>
      <c r="G184" s="4">
        <f>IF(RDG!H66=0,"",RDG!H66)</f>
      </c>
      <c r="H184" s="30">
        <f t="shared" si="6"/>
        <v>-8466828.059999999</v>
      </c>
      <c r="I184" s="4">
        <f t="shared" si="7"/>
        <v>0</v>
      </c>
      <c r="J184" s="31">
        <f>RDG!I66</f>
        <v>3834618</v>
      </c>
      <c r="K184" s="31">
        <f>RDG!J66</f>
        <v>-4230650</v>
      </c>
    </row>
    <row r="185" spans="4:11" ht="12.75">
      <c r="D185" s="4" t="s">
        <v>541</v>
      </c>
      <c r="E185" s="4">
        <v>2</v>
      </c>
      <c r="F185" s="4">
        <f>RDG!G67</f>
        <v>184</v>
      </c>
      <c r="G185" s="4">
        <f>IF(RDG!H67=0,"",RDG!H67)</f>
      </c>
      <c r="H185" s="30">
        <f t="shared" si="6"/>
        <v>7055697.12</v>
      </c>
      <c r="I185" s="4">
        <f t="shared" si="7"/>
        <v>0</v>
      </c>
      <c r="J185" s="31">
        <f>RDG!I67</f>
        <v>3834618</v>
      </c>
      <c r="K185" s="31">
        <f>RDG!J67</f>
        <v>0</v>
      </c>
    </row>
    <row r="186" spans="4:11" ht="12.75">
      <c r="D186" s="4" t="s">
        <v>541</v>
      </c>
      <c r="E186" s="4">
        <v>2</v>
      </c>
      <c r="F186" s="4">
        <f>RDG!G68</f>
        <v>185</v>
      </c>
      <c r="G186" s="4">
        <f>IF(RDG!H68=0,"",RDG!H68)</f>
      </c>
      <c r="H186" s="30">
        <f t="shared" si="6"/>
        <v>15653405</v>
      </c>
      <c r="I186" s="4">
        <f t="shared" si="7"/>
        <v>0</v>
      </c>
      <c r="J186" s="31">
        <f>RDG!I68</f>
        <v>0</v>
      </c>
      <c r="K186" s="31">
        <f>RDG!J68</f>
        <v>4230650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-9345897.64</v>
      </c>
      <c r="I203" s="4">
        <f t="shared" si="9"/>
        <v>0</v>
      </c>
      <c r="J203" s="31">
        <f>RDG!I89</f>
        <v>3834618</v>
      </c>
      <c r="K203" s="31">
        <f>RDG!J89</f>
        <v>-4230650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-9901099.48</v>
      </c>
      <c r="I215" s="4">
        <f t="shared" si="9"/>
        <v>0</v>
      </c>
      <c r="J215" s="31">
        <f>RDG!I101</f>
        <v>3834618</v>
      </c>
      <c r="K215" s="31">
        <f>RDG!J101</f>
        <v>-4230650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-36132.18</v>
      </c>
      <c r="I289" s="4">
        <f t="shared" si="15"/>
        <v>0</v>
      </c>
      <c r="J289" s="31">
        <f>NT_I!I9</f>
        <v>4848082</v>
      </c>
      <c r="K289" s="31">
        <f>NT_I!J9</f>
        <v>-4230650</v>
      </c>
    </row>
    <row r="290" spans="4:11" ht="12.75">
      <c r="D290" s="4" t="s">
        <v>1523</v>
      </c>
      <c r="E290" s="4">
        <v>4</v>
      </c>
      <c r="F290" s="4">
        <f>NT_I!G10</f>
        <v>2</v>
      </c>
      <c r="G290" s="4">
        <f>IF(NT_I!H10&lt;&gt;"",NT_I!H10,"")</f>
      </c>
      <c r="H290" s="30">
        <f t="shared" si="14"/>
        <v>547682.88</v>
      </c>
      <c r="I290" s="4">
        <f t="shared" si="15"/>
        <v>0</v>
      </c>
      <c r="J290" s="31">
        <f>NT_I!I10</f>
        <v>2830330</v>
      </c>
      <c r="K290" s="31">
        <f>NT_I!J10</f>
        <v>12276907</v>
      </c>
    </row>
    <row r="291" spans="4:11" ht="12.75">
      <c r="D291" s="4" t="s">
        <v>1523</v>
      </c>
      <c r="E291" s="4">
        <v>4</v>
      </c>
      <c r="F291" s="4">
        <f>NT_I!G11</f>
        <v>3</v>
      </c>
      <c r="G291" s="4">
        <f>IF(NT_I!H11&lt;&gt;"",NT_I!H11,"")</f>
      </c>
      <c r="H291" s="30">
        <f t="shared" si="14"/>
        <v>816673.71</v>
      </c>
      <c r="I291" s="4">
        <f t="shared" si="15"/>
        <v>0</v>
      </c>
      <c r="J291" s="31">
        <f>NT_I!I11</f>
        <v>8109023</v>
      </c>
      <c r="K291" s="31">
        <f>NT_I!J11</f>
        <v>9556717</v>
      </c>
    </row>
    <row r="292" spans="4:11" ht="12.75">
      <c r="D292" s="4" t="s">
        <v>1523</v>
      </c>
      <c r="E292" s="4">
        <v>4</v>
      </c>
      <c r="F292" s="4">
        <f>NT_I!G12</f>
        <v>4</v>
      </c>
      <c r="G292" s="4">
        <f>IF(NT_I!H12&lt;&gt;"",NT_I!H12,"")</f>
      </c>
      <c r="H292" s="30">
        <f aca="true" t="shared" si="16" ref="H292:H330">J292/100*F292+2*K292/100*F292</f>
        <v>-194908.12000000002</v>
      </c>
      <c r="I292" s="4">
        <f aca="true" t="shared" si="17" ref="I292:I330">ABS(ROUND(J292,0)-J292)+ABS(ROUND(K292,0)-K292)</f>
        <v>0</v>
      </c>
      <c r="J292" s="31">
        <f>NT_I!I12</f>
        <v>-4812487</v>
      </c>
      <c r="K292" s="31">
        <f>NT_I!J12</f>
        <v>-30108</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-34901.280000000006</v>
      </c>
      <c r="I294" s="4">
        <f t="shared" si="17"/>
        <v>0</v>
      </c>
      <c r="J294" s="31">
        <f>NT_I!I14</f>
        <v>-510530</v>
      </c>
      <c r="K294" s="31">
        <f>NT_I!J14</f>
        <v>-35579</v>
      </c>
    </row>
    <row r="295" spans="4:11" ht="12.75">
      <c r="D295" s="4" t="s">
        <v>1523</v>
      </c>
      <c r="E295" s="4">
        <v>4</v>
      </c>
      <c r="F295" s="4">
        <f>NT_I!G15</f>
        <v>7</v>
      </c>
      <c r="G295" s="4">
        <f>IF(NT_I!H15&lt;&gt;"",NT_I!H15,"")</f>
      </c>
      <c r="H295" s="30">
        <f t="shared" si="16"/>
        <v>452935.42</v>
      </c>
      <c r="I295" s="4">
        <f t="shared" si="17"/>
        <v>0</v>
      </c>
      <c r="J295" s="31">
        <f>NT_I!I15</f>
        <v>989990</v>
      </c>
      <c r="K295" s="31">
        <f>NT_I!J15</f>
        <v>2740258</v>
      </c>
    </row>
    <row r="296" spans="4:11" ht="12.75">
      <c r="D296" s="4" t="s">
        <v>1523</v>
      </c>
      <c r="E296" s="4">
        <v>4</v>
      </c>
      <c r="F296" s="4">
        <f>NT_I!G16</f>
        <v>8</v>
      </c>
      <c r="G296" s="4">
        <f>IF(NT_I!H16&lt;&gt;"",NT_I!H16,"")</f>
      </c>
      <c r="H296" s="30">
        <f t="shared" si="16"/>
        <v>-68354.24</v>
      </c>
      <c r="I296" s="4">
        <f t="shared" si="17"/>
        <v>0</v>
      </c>
      <c r="J296" s="31">
        <f>NT_I!I16</f>
        <v>-945666</v>
      </c>
      <c r="K296" s="31">
        <f>NT_I!J16</f>
        <v>45619</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2614801.86</v>
      </c>
      <c r="I299" s="4">
        <f t="shared" si="17"/>
        <v>0</v>
      </c>
      <c r="J299" s="31">
        <f>NT_I!I19</f>
        <v>7678412</v>
      </c>
      <c r="K299" s="31">
        <f>NT_I!J19</f>
        <v>8046257</v>
      </c>
    </row>
    <row r="300" spans="4:11" ht="12.75">
      <c r="D300" s="4" t="s">
        <v>1523</v>
      </c>
      <c r="E300" s="4">
        <v>4</v>
      </c>
      <c r="F300" s="4">
        <f>NT_I!G20</f>
        <v>12</v>
      </c>
      <c r="G300" s="4">
        <f>IF(NT_I!H20&lt;&gt;"",NT_I!H20,"")</f>
      </c>
      <c r="H300" s="30">
        <f t="shared" si="16"/>
        <v>-591734.8800000001</v>
      </c>
      <c r="I300" s="4">
        <f t="shared" si="17"/>
        <v>0</v>
      </c>
      <c r="J300" s="31">
        <f>NT_I!I20</f>
        <v>-6906710</v>
      </c>
      <c r="K300" s="31">
        <f>NT_I!J20</f>
        <v>987793</v>
      </c>
    </row>
    <row r="301" spans="4:11" ht="12.75">
      <c r="D301" s="4" t="s">
        <v>1523</v>
      </c>
      <c r="E301" s="4">
        <v>4</v>
      </c>
      <c r="F301" s="4">
        <f>NT_I!G21</f>
        <v>13</v>
      </c>
      <c r="G301" s="4">
        <f>IF(NT_I!H21&lt;&gt;"",NT_I!H21,"")</f>
      </c>
      <c r="H301" s="30">
        <f t="shared" si="16"/>
        <v>2196848.94</v>
      </c>
      <c r="I301" s="4">
        <f t="shared" si="17"/>
        <v>0</v>
      </c>
      <c r="J301" s="31">
        <f>NT_I!I21</f>
        <v>10045976</v>
      </c>
      <c r="K301" s="31">
        <f>NT_I!J21</f>
        <v>3426431</v>
      </c>
    </row>
    <row r="302" spans="4:11" ht="12.75">
      <c r="D302" s="4" t="s">
        <v>1523</v>
      </c>
      <c r="E302" s="4">
        <v>4</v>
      </c>
      <c r="F302" s="4">
        <f>NT_I!G22</f>
        <v>14</v>
      </c>
      <c r="G302" s="4">
        <f>IF(NT_I!H22&lt;&gt;"",NT_I!H22,"")</f>
      </c>
      <c r="H302" s="30">
        <f t="shared" si="16"/>
        <v>-385662.2</v>
      </c>
      <c r="I302" s="4">
        <f t="shared" si="17"/>
        <v>0</v>
      </c>
      <c r="J302" s="31">
        <f>NT_I!I22</f>
        <v>-44744</v>
      </c>
      <c r="K302" s="31">
        <f>NT_I!J22</f>
        <v>-1354993</v>
      </c>
    </row>
    <row r="303" spans="4:11" ht="12.75">
      <c r="D303" s="4" t="s">
        <v>1523</v>
      </c>
      <c r="E303" s="4">
        <v>4</v>
      </c>
      <c r="F303" s="4">
        <f>NT_I!G23</f>
        <v>15</v>
      </c>
      <c r="G303" s="4">
        <f>IF(NT_I!H23&lt;&gt;"",NT_I!H23,"")</f>
      </c>
      <c r="H303" s="30">
        <f t="shared" si="16"/>
        <v>-40343.850000000006</v>
      </c>
      <c r="I303" s="4">
        <f t="shared" si="17"/>
        <v>0</v>
      </c>
      <c r="J303" s="31">
        <f>NT_I!I23</f>
        <v>-60265</v>
      </c>
      <c r="K303" s="31">
        <f>NT_I!J23</f>
        <v>-104347</v>
      </c>
    </row>
    <row r="304" spans="4:11" ht="12.75">
      <c r="D304" s="4" t="s">
        <v>1523</v>
      </c>
      <c r="E304" s="4">
        <v>4</v>
      </c>
      <c r="F304" s="4">
        <f>NT_I!G24</f>
        <v>16</v>
      </c>
      <c r="G304" s="4">
        <f>IF(NT_I!H24&lt;&gt;"",NT_I!H24,"")</f>
      </c>
      <c r="H304" s="30">
        <f t="shared" si="16"/>
        <v>-3009003.6799999997</v>
      </c>
      <c r="I304" s="4">
        <f t="shared" si="17"/>
        <v>0</v>
      </c>
      <c r="J304" s="31">
        <f>NT_I!I24</f>
        <v>-16847677</v>
      </c>
      <c r="K304" s="31">
        <f>NT_I!J24</f>
        <v>-979298</v>
      </c>
    </row>
    <row r="305" spans="4:11" ht="12.75">
      <c r="D305" s="4" t="s">
        <v>1523</v>
      </c>
      <c r="E305" s="4">
        <v>4</v>
      </c>
      <c r="F305" s="4">
        <f>NT_I!G25</f>
        <v>17</v>
      </c>
      <c r="G305" s="4">
        <f>IF(NT_I!H25&lt;&gt;"",NT_I!H25,"")</f>
      </c>
      <c r="H305" s="30">
        <f t="shared" si="16"/>
        <v>3202766.34</v>
      </c>
      <c r="I305" s="4">
        <f t="shared" si="17"/>
        <v>0</v>
      </c>
      <c r="J305" s="31">
        <f>NT_I!I25</f>
        <v>771702</v>
      </c>
      <c r="K305" s="31">
        <f>NT_I!J25</f>
        <v>9034050</v>
      </c>
    </row>
    <row r="306" spans="4:11" ht="12.75">
      <c r="D306" s="4" t="s">
        <v>1523</v>
      </c>
      <c r="E306" s="4">
        <v>4</v>
      </c>
      <c r="F306" s="4">
        <f>NT_I!G26</f>
        <v>18</v>
      </c>
      <c r="G306" s="4">
        <f>IF(NT_I!H26&lt;&gt;"",NT_I!H26,"")</f>
      </c>
      <c r="H306" s="30">
        <f t="shared" si="16"/>
        <v>-1164691.08</v>
      </c>
      <c r="I306" s="4">
        <f t="shared" si="17"/>
        <v>0</v>
      </c>
      <c r="J306" s="31">
        <f>NT_I!I26</f>
        <v>-989990</v>
      </c>
      <c r="K306" s="31">
        <f>NT_I!J26</f>
        <v>-2740258</v>
      </c>
    </row>
    <row r="307" spans="4:11" ht="12.75">
      <c r="D307" s="4" t="s">
        <v>1523</v>
      </c>
      <c r="E307" s="4">
        <v>4</v>
      </c>
      <c r="F307" s="4">
        <f>NT_I!G27</f>
        <v>19</v>
      </c>
      <c r="G307" s="4">
        <f>IF(NT_I!H27&lt;&gt;"",NT_I!H27,"")</f>
      </c>
      <c r="H307" s="30">
        <f t="shared" si="16"/>
        <v>-192558.15999999997</v>
      </c>
      <c r="I307" s="4">
        <f t="shared" si="17"/>
        <v>0</v>
      </c>
      <c r="J307" s="31">
        <f>NT_I!I27</f>
        <v>-1013464</v>
      </c>
      <c r="K307" s="31">
        <f>NT_I!J27</f>
        <v>0</v>
      </c>
    </row>
    <row r="308" spans="4:11" ht="12.75">
      <c r="D308" s="4" t="s">
        <v>1523</v>
      </c>
      <c r="E308" s="4">
        <v>4</v>
      </c>
      <c r="F308" s="4">
        <f>NT_I!G28</f>
        <v>20</v>
      </c>
      <c r="G308" s="4">
        <f>IF(NT_I!H28&lt;&gt;"",NT_I!H28,"")</f>
      </c>
      <c r="H308" s="30">
        <f t="shared" si="16"/>
        <v>2271166.4</v>
      </c>
      <c r="I308" s="4">
        <f t="shared" si="17"/>
        <v>0</v>
      </c>
      <c r="J308" s="31">
        <f>NT_I!I28</f>
        <v>-1231752</v>
      </c>
      <c r="K308" s="31">
        <f>NT_I!J28</f>
        <v>6293792</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133788.24000000002</v>
      </c>
      <c r="I311" s="4">
        <f t="shared" si="17"/>
        <v>0</v>
      </c>
      <c r="J311" s="31">
        <f>NT_I!I32</f>
        <v>510530</v>
      </c>
      <c r="K311" s="31">
        <f>NT_I!J32</f>
        <v>35579</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2130781.6399999997</v>
      </c>
      <c r="I314" s="4">
        <f t="shared" si="17"/>
        <v>0</v>
      </c>
      <c r="J314" s="31">
        <f>NT_I!I35</f>
        <v>5776822</v>
      </c>
      <c r="K314" s="31">
        <f>NT_I!J35</f>
        <v>1209246</v>
      </c>
    </row>
    <row r="315" spans="4:11" ht="12.75">
      <c r="D315" s="4" t="s">
        <v>1523</v>
      </c>
      <c r="E315" s="4">
        <v>4</v>
      </c>
      <c r="F315" s="4">
        <f>NT_I!G36</f>
        <v>27</v>
      </c>
      <c r="G315" s="4">
        <f>IF(NT_I!H36&lt;&gt;"",NT_I!H36,"")</f>
      </c>
      <c r="H315" s="30">
        <f t="shared" si="16"/>
        <v>2369790.54</v>
      </c>
      <c r="I315" s="4">
        <f t="shared" si="17"/>
        <v>0</v>
      </c>
      <c r="J315" s="31">
        <f>NT_I!I36</f>
        <v>6287352</v>
      </c>
      <c r="K315" s="31">
        <f>NT_I!J36</f>
        <v>1244825</v>
      </c>
    </row>
    <row r="316" spans="4:11" ht="12.75">
      <c r="D316" s="4" t="s">
        <v>1523</v>
      </c>
      <c r="E316" s="4">
        <v>4</v>
      </c>
      <c r="F316" s="4">
        <f>NT_I!G37</f>
        <v>28</v>
      </c>
      <c r="G316" s="4">
        <f>IF(NT_I!H37&lt;&gt;"",NT_I!H37,"")</f>
      </c>
      <c r="H316" s="30">
        <f t="shared" si="16"/>
        <v>-37790562.04</v>
      </c>
      <c r="I316" s="4">
        <f t="shared" si="17"/>
        <v>0</v>
      </c>
      <c r="J316" s="31">
        <f>NT_I!I37</f>
        <v>-30084555</v>
      </c>
      <c r="K316" s="31">
        <f>NT_I!J37</f>
        <v>-52440869</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-997152.64</v>
      </c>
      <c r="I320" s="4">
        <f t="shared" si="17"/>
        <v>0</v>
      </c>
      <c r="J320" s="31">
        <f>NT_I!I41</f>
        <v>-3116102</v>
      </c>
      <c r="K320" s="31">
        <f>NT_I!J41</f>
        <v>0</v>
      </c>
    </row>
    <row r="321" spans="4:11" ht="12.75">
      <c r="D321" s="4" t="s">
        <v>1523</v>
      </c>
      <c r="E321" s="4">
        <v>4</v>
      </c>
      <c r="F321" s="4">
        <f>NT_I!G42</f>
        <v>33</v>
      </c>
      <c r="G321" s="4">
        <f>IF(NT_I!H42&lt;&gt;"",NT_I!H42,"")</f>
      </c>
      <c r="H321" s="30">
        <f t="shared" si="16"/>
        <v>-45567190.35</v>
      </c>
      <c r="I321" s="4">
        <f t="shared" si="17"/>
        <v>0</v>
      </c>
      <c r="J321" s="31">
        <f>NT_I!I42</f>
        <v>-33200657</v>
      </c>
      <c r="K321" s="31">
        <f>NT_I!J42</f>
        <v>-52440869</v>
      </c>
    </row>
    <row r="322" spans="4:11" ht="12.75">
      <c r="D322" s="4" t="s">
        <v>1523</v>
      </c>
      <c r="E322" s="4">
        <v>4</v>
      </c>
      <c r="F322" s="4">
        <f>NT_I!G43</f>
        <v>34</v>
      </c>
      <c r="G322" s="4">
        <f>IF(NT_I!H43&lt;&gt;"",NT_I!H43,"")</f>
      </c>
      <c r="H322" s="30">
        <f t="shared" si="16"/>
        <v>-43963833.620000005</v>
      </c>
      <c r="I322" s="4">
        <f t="shared" si="17"/>
        <v>0</v>
      </c>
      <c r="J322" s="31">
        <f>NT_I!I43</f>
        <v>-26913305</v>
      </c>
      <c r="K322" s="31">
        <f>NT_I!J43</f>
        <v>-51196044</v>
      </c>
    </row>
    <row r="323" spans="4:11" ht="12.75">
      <c r="D323" s="4" t="s">
        <v>1523</v>
      </c>
      <c r="E323" s="4">
        <v>4</v>
      </c>
      <c r="F323" s="4">
        <f>NT_I!G45</f>
        <v>35</v>
      </c>
      <c r="G323" s="4">
        <f>IF(NT_I!H45&lt;&gt;"",NT_I!H45,"")</f>
      </c>
      <c r="H323" s="30">
        <f t="shared" si="16"/>
        <v>96884.55</v>
      </c>
      <c r="I323" s="4">
        <f t="shared" si="17"/>
        <v>0</v>
      </c>
      <c r="J323" s="31">
        <f>NT_I!I45</f>
        <v>276813</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43295230.32</v>
      </c>
      <c r="I325" s="4">
        <f t="shared" si="17"/>
        <v>0</v>
      </c>
      <c r="J325" s="31">
        <f>NT_I!I47</f>
        <v>29726078</v>
      </c>
      <c r="K325" s="31">
        <f>NT_I!J47</f>
        <v>43644029</v>
      </c>
    </row>
    <row r="326" spans="4:11" ht="12.75">
      <c r="D326" s="4" t="s">
        <v>1523</v>
      </c>
      <c r="E326" s="4">
        <v>4</v>
      </c>
      <c r="F326" s="4">
        <f>NT_I!G48</f>
        <v>38</v>
      </c>
      <c r="G326" s="4">
        <f>IF(NT_I!H48&lt;&gt;"",NT_I!H48,"")</f>
      </c>
      <c r="H326" s="30">
        <f t="shared" si="16"/>
        <v>287665.7</v>
      </c>
      <c r="I326" s="4">
        <f t="shared" si="17"/>
        <v>0</v>
      </c>
      <c r="J326" s="31">
        <f>NT_I!I48</f>
        <v>757015</v>
      </c>
      <c r="K326" s="31">
        <f>NT_I!J48</f>
        <v>0</v>
      </c>
    </row>
    <row r="327" spans="4:11" ht="12.75">
      <c r="D327" s="4" t="s">
        <v>1523</v>
      </c>
      <c r="E327" s="4">
        <v>4</v>
      </c>
      <c r="F327" s="4">
        <f>NT_I!G49</f>
        <v>39</v>
      </c>
      <c r="G327" s="4">
        <f>IF(NT_I!H49&lt;&gt;"",NT_I!H49,"")</f>
      </c>
      <c r="H327" s="30">
        <f t="shared" si="16"/>
        <v>46038705.95999999</v>
      </c>
      <c r="I327" s="4">
        <f t="shared" si="17"/>
        <v>0</v>
      </c>
      <c r="J327" s="31">
        <f>NT_I!I49</f>
        <v>30759906</v>
      </c>
      <c r="K327" s="31">
        <f>NT_I!J49</f>
        <v>43644029</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54302063.44</v>
      </c>
      <c r="I334" s="4">
        <f t="shared" si="19"/>
        <v>0</v>
      </c>
      <c r="J334" s="31">
        <f>NT_I!I56</f>
        <v>30759906</v>
      </c>
      <c r="K334" s="31">
        <f>NT_I!J56</f>
        <v>43644029</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47233.439999999944</v>
      </c>
      <c r="I336" s="4">
        <f t="shared" si="19"/>
        <v>0</v>
      </c>
      <c r="J336" s="31">
        <f>NT_I!I58</f>
        <v>2614849</v>
      </c>
      <c r="K336" s="31">
        <f>NT_I!J58</f>
        <v>-1258223</v>
      </c>
    </row>
    <row r="337" spans="4:11" ht="12.75">
      <c r="D337" s="4" t="s">
        <v>1523</v>
      </c>
      <c r="E337" s="4">
        <v>4</v>
      </c>
      <c r="F337" s="4">
        <f>NT_I!G59</f>
        <v>49</v>
      </c>
      <c r="G337" s="4">
        <f>IF(NT_I!H59&lt;&gt;"",NT_I!H59,"")</f>
      </c>
      <c r="H337" s="30">
        <f t="shared" si="18"/>
        <v>4467441.72</v>
      </c>
      <c r="I337" s="4">
        <f t="shared" si="19"/>
        <v>0</v>
      </c>
      <c r="J337" s="31">
        <f>NT_I!I59</f>
        <v>1295844</v>
      </c>
      <c r="K337" s="31">
        <f>NT_I!J59</f>
        <v>3910692</v>
      </c>
    </row>
    <row r="338" spans="4:11" ht="12.75">
      <c r="D338" s="4" t="s">
        <v>1523</v>
      </c>
      <c r="E338" s="4">
        <v>4</v>
      </c>
      <c r="F338" s="4">
        <f>NT_I!G60</f>
        <v>50</v>
      </c>
      <c r="G338" s="4">
        <f>IF(NT_I!H60&lt;&gt;"",NT_I!H60,"")</f>
      </c>
      <c r="H338" s="30">
        <f t="shared" si="18"/>
        <v>4607815.5</v>
      </c>
      <c r="I338" s="4">
        <f t="shared" si="19"/>
        <v>0</v>
      </c>
      <c r="J338" s="31">
        <f>NT_I!I60</f>
        <v>3910693</v>
      </c>
      <c r="K338" s="31">
        <f>NT_I!J60</f>
        <v>2652469</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163666603.56</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490774660</v>
      </c>
      <c r="K381" s="31">
        <f>PK!J10</f>
        <v>25356374</v>
      </c>
      <c r="L381" s="31">
        <f>PK!K10</f>
        <v>0</v>
      </c>
      <c r="M381" s="31">
        <f>PK!L10</f>
        <v>0</v>
      </c>
      <c r="N381" s="31">
        <f>PK!M10</f>
        <v>0</v>
      </c>
      <c r="O381" s="31">
        <f>PK!N10</f>
        <v>0</v>
      </c>
      <c r="P381" s="31">
        <f>PK!O10</f>
        <v>0</v>
      </c>
      <c r="Q381" s="31">
        <f>PK!P10</f>
        <v>0</v>
      </c>
      <c r="R381" s="31">
        <f>PK!Q10</f>
        <v>0</v>
      </c>
      <c r="S381" s="31">
        <f>PK!R10</f>
        <v>0</v>
      </c>
      <c r="T381" s="31">
        <f>PK!S10</f>
        <v>0</v>
      </c>
      <c r="U381" s="31">
        <f>PK!T10</f>
        <v>5411086</v>
      </c>
      <c r="V381" s="31">
        <f>PK!U10</f>
        <v>2650612</v>
      </c>
      <c r="W381" s="31">
        <f>PK!V10</f>
        <v>524192732</v>
      </c>
      <c r="X381" s="31">
        <f>PK!W10</f>
        <v>0</v>
      </c>
      <c r="Y381" s="31">
        <f>PK!X10</f>
        <v>524192732</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179911225.8</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490774660</v>
      </c>
      <c r="K384" s="31">
        <f>PK!J13</f>
        <v>25356374</v>
      </c>
      <c r="L384" s="31">
        <f>PK!K13</f>
        <v>0</v>
      </c>
      <c r="M384" s="31">
        <f>PK!L13</f>
        <v>0</v>
      </c>
      <c r="N384" s="31">
        <f>PK!M13</f>
        <v>0</v>
      </c>
      <c r="O384" s="31">
        <f>PK!N13</f>
        <v>0</v>
      </c>
      <c r="P384" s="31">
        <f>PK!O13</f>
        <v>0</v>
      </c>
      <c r="Q384" s="31">
        <f>PK!P13</f>
        <v>0</v>
      </c>
      <c r="R384" s="31">
        <f>PK!Q13</f>
        <v>0</v>
      </c>
      <c r="S384" s="31">
        <f>PK!R13</f>
        <v>0</v>
      </c>
      <c r="T384" s="31">
        <f>PK!S13</f>
        <v>0</v>
      </c>
      <c r="U384" s="31">
        <f>PK!T13</f>
        <v>5411086</v>
      </c>
      <c r="V384" s="31">
        <f>PK!U13</f>
        <v>2650612</v>
      </c>
      <c r="W384" s="31">
        <f>PK!V13</f>
        <v>524192732</v>
      </c>
      <c r="X384" s="31">
        <f>PK!W13</f>
        <v>0</v>
      </c>
      <c r="Y384" s="31">
        <f>PK!X13</f>
        <v>524192732</v>
      </c>
    </row>
    <row r="385" spans="4:25" ht="12.75">
      <c r="D385" s="4" t="s">
        <v>542</v>
      </c>
      <c r="E385" s="4">
        <v>6</v>
      </c>
      <c r="F385" s="4">
        <f>PK!G14</f>
        <v>5</v>
      </c>
      <c r="G385" s="4">
        <f>IF(PK!H14&lt;&gt;"",PK!H14,"")</f>
      </c>
      <c r="H385" s="30">
        <f t="shared" si="22"/>
        <v>1648885.31</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3834617</v>
      </c>
      <c r="W385" s="31">
        <f>PK!V14</f>
        <v>3834617</v>
      </c>
      <c r="X385" s="31">
        <f>PK!W14</f>
        <v>0</v>
      </c>
      <c r="Y385" s="31">
        <f>PK!X14</f>
        <v>3834617</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-158864.58</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-378249</v>
      </c>
      <c r="V392" s="31">
        <f>PK!U21</f>
        <v>0</v>
      </c>
      <c r="W392" s="31">
        <f>PK!V21</f>
        <v>-378249</v>
      </c>
      <c r="X392" s="31">
        <f>PK!W21</f>
        <v>0</v>
      </c>
      <c r="Y392" s="31">
        <f>PK!X21</f>
        <v>-378249</v>
      </c>
    </row>
    <row r="393" spans="4:25" ht="12.75">
      <c r="D393" s="4" t="s">
        <v>542</v>
      </c>
      <c r="E393" s="4">
        <v>6</v>
      </c>
      <c r="F393" s="4">
        <f>PK!G22</f>
        <v>13</v>
      </c>
      <c r="G393" s="4">
        <f>IF(PK!H22&lt;&gt;"",PK!H22,"")</f>
      </c>
      <c r="H393" s="30">
        <f t="shared" si="22"/>
        <v>28595.28</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68084</v>
      </c>
      <c r="V393" s="31">
        <f>PK!U22</f>
        <v>0</v>
      </c>
      <c r="W393" s="31">
        <f>PK!V22</f>
        <v>68084</v>
      </c>
      <c r="X393" s="31">
        <f>PK!W22</f>
        <v>0</v>
      </c>
      <c r="Y393" s="31">
        <f>PK!X22</f>
        <v>68084</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270882.3</v>
      </c>
      <c r="I395" s="31">
        <f t="shared" si="23"/>
        <v>0</v>
      </c>
      <c r="J395" s="31">
        <f>PK!I24</f>
        <v>542030</v>
      </c>
      <c r="K395" s="31">
        <f>PK!J24</f>
        <v>44948</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586978</v>
      </c>
      <c r="X395" s="31">
        <f>PK!W24</f>
        <v>0</v>
      </c>
      <c r="Y395" s="31">
        <f>PK!X24</f>
        <v>586978</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-26506.119999999995</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2650612</v>
      </c>
      <c r="V400" s="31">
        <f>PK!U29</f>
        <v>-2650612</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284607379.59000003</v>
      </c>
      <c r="I403" s="31">
        <f t="shared" si="23"/>
        <v>0</v>
      </c>
      <c r="J403" s="31">
        <f>PK!I32</f>
        <v>491316690</v>
      </c>
      <c r="K403" s="31">
        <f>PK!J32</f>
        <v>25401322</v>
      </c>
      <c r="L403" s="31">
        <f>PK!K32</f>
        <v>0</v>
      </c>
      <c r="M403" s="31">
        <f>PK!L32</f>
        <v>0</v>
      </c>
      <c r="N403" s="31">
        <f>PK!M32</f>
        <v>0</v>
      </c>
      <c r="O403" s="31">
        <f>PK!N32</f>
        <v>0</v>
      </c>
      <c r="P403" s="31">
        <f>PK!O32</f>
        <v>0</v>
      </c>
      <c r="Q403" s="31">
        <f>PK!P32</f>
        <v>0</v>
      </c>
      <c r="R403" s="31">
        <f>PK!Q32</f>
        <v>0</v>
      </c>
      <c r="S403" s="31">
        <f>PK!R32</f>
        <v>0</v>
      </c>
      <c r="T403" s="31">
        <f>PK!S32</f>
        <v>0</v>
      </c>
      <c r="U403" s="31">
        <f>PK!T32</f>
        <v>7751533</v>
      </c>
      <c r="V403" s="31">
        <f>PK!U32</f>
        <v>3834617</v>
      </c>
      <c r="W403" s="31">
        <f>PK!V32</f>
        <v>528304162</v>
      </c>
      <c r="X403" s="31">
        <f>PK!W32</f>
        <v>0</v>
      </c>
      <c r="Y403" s="31">
        <f>PK!X32</f>
        <v>528304162</v>
      </c>
    </row>
    <row r="404" spans="4:25" ht="12.75">
      <c r="D404" s="4" t="s">
        <v>542</v>
      </c>
      <c r="E404" s="4">
        <v>6</v>
      </c>
      <c r="F404" s="4">
        <f>PK!G34</f>
        <v>24</v>
      </c>
      <c r="G404" s="4">
        <f>IF(PK!H34&lt;&gt;"",PK!H34,"")</f>
      </c>
      <c r="H404" s="30">
        <f t="shared" si="22"/>
        <v>-130269.29999999999</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-310165</v>
      </c>
      <c r="V404" s="31">
        <f>PK!U34</f>
        <v>0</v>
      </c>
      <c r="W404" s="31">
        <f>PK!V34</f>
        <v>-310165</v>
      </c>
      <c r="X404" s="31">
        <f>PK!W34</f>
        <v>0</v>
      </c>
      <c r="Y404" s="31">
        <f>PK!X34</f>
        <v>-310165</v>
      </c>
    </row>
    <row r="405" spans="4:25" ht="12.75">
      <c r="D405" s="4" t="s">
        <v>542</v>
      </c>
      <c r="E405" s="4">
        <v>6</v>
      </c>
      <c r="F405" s="4">
        <f>PK!G35</f>
        <v>25</v>
      </c>
      <c r="G405" s="4">
        <f>IF(PK!H35&lt;&gt;"",PK!H35,"")</f>
      </c>
      <c r="H405" s="30">
        <f t="shared" si="22"/>
        <v>1518616.01</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-310165</v>
      </c>
      <c r="V405" s="31">
        <f>PK!U35</f>
        <v>3834617</v>
      </c>
      <c r="W405" s="31">
        <f>PK!V35</f>
        <v>3524452</v>
      </c>
      <c r="X405" s="31">
        <f>PK!W35</f>
        <v>0</v>
      </c>
      <c r="Y405" s="31">
        <f>PK!X35</f>
        <v>3524452</v>
      </c>
    </row>
    <row r="406" spans="4:25" ht="12.75">
      <c r="D406" s="4" t="s">
        <v>542</v>
      </c>
      <c r="E406" s="4">
        <v>6</v>
      </c>
      <c r="F406" s="4">
        <f>PK!G36</f>
        <v>26</v>
      </c>
      <c r="G406" s="4">
        <f>IF(PK!H36&lt;&gt;"",PK!H36,"")</f>
      </c>
      <c r="H406" s="30">
        <f t="shared" si="22"/>
        <v>313888.04</v>
      </c>
      <c r="I406" s="31">
        <f t="shared" si="23"/>
        <v>0</v>
      </c>
      <c r="J406" s="31">
        <f>PK!I36</f>
        <v>542030</v>
      </c>
      <c r="K406" s="31">
        <f>PK!J36</f>
        <v>44948</v>
      </c>
      <c r="L406" s="31">
        <f>PK!K36</f>
        <v>0</v>
      </c>
      <c r="M406" s="31">
        <f>PK!L36</f>
        <v>0</v>
      </c>
      <c r="N406" s="31">
        <f>PK!M36</f>
        <v>0</v>
      </c>
      <c r="O406" s="31">
        <f>PK!N36</f>
        <v>0</v>
      </c>
      <c r="P406" s="31">
        <f>PK!O36</f>
        <v>0</v>
      </c>
      <c r="Q406" s="31">
        <f>PK!P36</f>
        <v>0</v>
      </c>
      <c r="R406" s="31">
        <f>PK!Q36</f>
        <v>0</v>
      </c>
      <c r="S406" s="31">
        <f>PK!R36</f>
        <v>0</v>
      </c>
      <c r="T406" s="31">
        <f>PK!S36</f>
        <v>0</v>
      </c>
      <c r="U406" s="31">
        <f>PK!T36</f>
        <v>2650612</v>
      </c>
      <c r="V406" s="31">
        <f>PK!U36</f>
        <v>-2650612</v>
      </c>
      <c r="W406" s="31">
        <f>PK!V36</f>
        <v>586978</v>
      </c>
      <c r="X406" s="31">
        <f>PK!W36</f>
        <v>0</v>
      </c>
      <c r="Y406" s="31">
        <f>PK!X36</f>
        <v>586978</v>
      </c>
    </row>
    <row r="407" spans="4:25" ht="12.75">
      <c r="D407" s="4" t="s">
        <v>542</v>
      </c>
      <c r="E407" s="4">
        <v>6</v>
      </c>
      <c r="F407" s="4">
        <f>PK!G38</f>
        <v>27</v>
      </c>
      <c r="G407" s="4">
        <f>IF(PK!H38&lt;&gt;"",PK!H38,"")</f>
      </c>
      <c r="H407" s="30">
        <f t="shared" si="22"/>
        <v>306292152.95000005</v>
      </c>
      <c r="I407" s="31">
        <f t="shared" si="23"/>
        <v>0</v>
      </c>
      <c r="J407" s="31">
        <f>PK!I38</f>
        <v>491316690</v>
      </c>
      <c r="K407" s="31">
        <f>PK!J38</f>
        <v>25401322</v>
      </c>
      <c r="L407" s="31">
        <f>PK!K38</f>
        <v>0</v>
      </c>
      <c r="M407" s="31">
        <f>PK!L38</f>
        <v>0</v>
      </c>
      <c r="N407" s="31">
        <f>PK!M38</f>
        <v>0</v>
      </c>
      <c r="O407" s="31">
        <f>PK!N38</f>
        <v>0</v>
      </c>
      <c r="P407" s="31">
        <f>PK!O38</f>
        <v>0</v>
      </c>
      <c r="Q407" s="31">
        <f>PK!P38</f>
        <v>0</v>
      </c>
      <c r="R407" s="31">
        <f>PK!Q38</f>
        <v>0</v>
      </c>
      <c r="S407" s="31">
        <f>PK!R38</f>
        <v>0</v>
      </c>
      <c r="T407" s="31">
        <f>PK!S38</f>
        <v>0</v>
      </c>
      <c r="U407" s="31">
        <f>PK!T38</f>
        <v>7751533</v>
      </c>
      <c r="V407" s="31">
        <f>PK!U38</f>
        <v>3834617</v>
      </c>
      <c r="W407" s="31">
        <f>PK!V38</f>
        <v>528304162</v>
      </c>
      <c r="X407" s="31">
        <f>PK!W38</f>
        <v>0</v>
      </c>
      <c r="Y407" s="31">
        <f>PK!X38</f>
        <v>528304162</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322555732.97</v>
      </c>
      <c r="I410" s="31">
        <f t="shared" si="23"/>
        <v>0</v>
      </c>
      <c r="J410" s="31">
        <f>PK!I41</f>
        <v>491316690</v>
      </c>
      <c r="K410" s="31">
        <f>PK!J41</f>
        <v>25401322</v>
      </c>
      <c r="L410" s="31">
        <f>PK!K41</f>
        <v>0</v>
      </c>
      <c r="M410" s="31">
        <f>PK!L41</f>
        <v>0</v>
      </c>
      <c r="N410" s="31">
        <f>PK!M41</f>
        <v>0</v>
      </c>
      <c r="O410" s="31">
        <f>PK!N41</f>
        <v>0</v>
      </c>
      <c r="P410" s="31">
        <f>PK!O41</f>
        <v>0</v>
      </c>
      <c r="Q410" s="31">
        <f>PK!P41</f>
        <v>0</v>
      </c>
      <c r="R410" s="31">
        <f>PK!Q41</f>
        <v>0</v>
      </c>
      <c r="S410" s="31">
        <f>PK!R41</f>
        <v>0</v>
      </c>
      <c r="T410" s="31">
        <f>PK!S41</f>
        <v>0</v>
      </c>
      <c r="U410" s="31">
        <f>PK!T41</f>
        <v>7751533</v>
      </c>
      <c r="V410" s="31">
        <f>PK!U41</f>
        <v>3834617</v>
      </c>
      <c r="W410" s="31">
        <f>PK!V41</f>
        <v>528304162</v>
      </c>
      <c r="X410" s="31">
        <f>PK!W41</f>
        <v>0</v>
      </c>
      <c r="Y410" s="31">
        <f>PK!X41</f>
        <v>528304162</v>
      </c>
    </row>
    <row r="411" spans="4:25" ht="12.75">
      <c r="D411" s="4" t="s">
        <v>542</v>
      </c>
      <c r="E411" s="4">
        <v>6</v>
      </c>
      <c r="F411" s="4">
        <f>PK!G42</f>
        <v>31</v>
      </c>
      <c r="G411" s="4">
        <f>IF(PK!H42&lt;&gt;"",PK!H42,"")</f>
      </c>
      <c r="H411" s="30">
        <f t="shared" si="22"/>
        <v>-1819179.5</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-4230650</v>
      </c>
      <c r="W411" s="31">
        <f>PK!V42</f>
        <v>-4230650</v>
      </c>
      <c r="X411" s="31">
        <f>PK!W42</f>
        <v>0</v>
      </c>
      <c r="Y411" s="31">
        <f>PK!X42</f>
        <v>-4230650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-38346.17000000004</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3834617</v>
      </c>
      <c r="V426" s="31">
        <f>PK!U57</f>
        <v>-3834617</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423700880.76000005</v>
      </c>
      <c r="I429" s="31">
        <f t="shared" si="23"/>
        <v>0</v>
      </c>
      <c r="J429" s="31">
        <f>PK!I60</f>
        <v>491316690</v>
      </c>
      <c r="K429" s="31">
        <f>PK!J60</f>
        <v>25401322</v>
      </c>
      <c r="L429" s="31">
        <f>PK!K60</f>
        <v>0</v>
      </c>
      <c r="M429" s="31">
        <f>PK!L60</f>
        <v>0</v>
      </c>
      <c r="N429" s="31">
        <f>PK!M60</f>
        <v>0</v>
      </c>
      <c r="O429" s="31">
        <f>PK!N60</f>
        <v>0</v>
      </c>
      <c r="P429" s="31">
        <f>PK!O60</f>
        <v>0</v>
      </c>
      <c r="Q429" s="31">
        <f>PK!P60</f>
        <v>0</v>
      </c>
      <c r="R429" s="31">
        <f>PK!Q60</f>
        <v>0</v>
      </c>
      <c r="S429" s="31">
        <f>PK!R60</f>
        <v>0</v>
      </c>
      <c r="T429" s="31">
        <f>PK!S60</f>
        <v>0</v>
      </c>
      <c r="U429" s="31">
        <f>PK!T60</f>
        <v>11586150</v>
      </c>
      <c r="V429" s="31">
        <f>PK!U60</f>
        <v>-4230650</v>
      </c>
      <c r="W429" s="31">
        <f>PK!V60</f>
        <v>524073512</v>
      </c>
      <c r="X429" s="31">
        <f>PK!W60</f>
        <v>0</v>
      </c>
      <c r="Y429" s="31">
        <f>PK!X60</f>
        <v>524073512</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-1819179.5</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-4230650</v>
      </c>
      <c r="W431" s="31">
        <f>PK!V63</f>
        <v>-4230650</v>
      </c>
      <c r="X431" s="31">
        <f>PK!W63</f>
        <v>0</v>
      </c>
      <c r="Y431" s="31">
        <f>PK!X63</f>
        <v>-4230650</v>
      </c>
    </row>
    <row r="432" spans="4:25" ht="12.75">
      <c r="D432" s="4" t="s">
        <v>542</v>
      </c>
      <c r="E432" s="4">
        <v>6</v>
      </c>
      <c r="F432" s="4">
        <f>PK!G64</f>
        <v>52</v>
      </c>
      <c r="G432" s="4">
        <f>IF(PK!H64&lt;&gt;"",PK!H64,"")</f>
      </c>
      <c r="H432" s="30">
        <f t="shared" si="22"/>
        <v>-38346.17000000004</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3834617</v>
      </c>
      <c r="V432" s="31">
        <f>PK!U64</f>
        <v>-3834617</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71" sqref="C71:J7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JADRAN D.D.</v>
      </c>
      <c r="X2" s="209" t="s">
        <v>207</v>
      </c>
      <c r="Y2" s="231">
        <f>IF(RefStr!C54&lt;&gt;"",RefStr!C54,"")</f>
        <v>100</v>
      </c>
      <c r="Z2" s="209" t="s">
        <v>2325</v>
      </c>
      <c r="AA2" s="231">
        <f>IF(RefStr!B64="","",RefStr!B64)</f>
      </c>
    </row>
    <row r="3" spans="1:27" ht="13.5" customHeight="1">
      <c r="A3" s="494" t="s">
        <v>2471</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3</v>
      </c>
      <c r="T3" s="211" t="s">
        <v>777</v>
      </c>
      <c r="U3" s="232" t="str">
        <f>RefStr!L21</f>
        <v>80072926694</v>
      </c>
      <c r="V3" s="211" t="s">
        <v>2354</v>
      </c>
      <c r="W3" s="232">
        <f>RefStr!C31</f>
        <v>51260</v>
      </c>
      <c r="X3" s="211" t="s">
        <v>208</v>
      </c>
      <c r="Y3" s="232">
        <f>IF(RefStr!F54&lt;&gt;"",RefStr!F54,"")</f>
        <v>0</v>
      </c>
      <c r="Z3" s="211" t="s">
        <v>2326</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42</v>
      </c>
      <c r="T4" s="211" t="s">
        <v>2717</v>
      </c>
      <c r="U4" s="232" t="str">
        <f>RefStr!C27</f>
        <v>56994999963</v>
      </c>
      <c r="V4" s="211" t="s">
        <v>2355</v>
      </c>
      <c r="W4" s="232" t="str">
        <f>RefStr!F31</f>
        <v>CRIKVENICA</v>
      </c>
      <c r="X4" s="234" t="s">
        <v>222</v>
      </c>
      <c r="Y4" s="235" t="str">
        <f>RefStr!I68</f>
        <v>DA</v>
      </c>
      <c r="Z4" s="211" t="s">
        <v>2569</v>
      </c>
      <c r="AA4" s="232" t="str">
        <f>RefStr!N19</f>
        <v>MSFI</v>
      </c>
    </row>
    <row r="5" spans="1:27" ht="13.5" customHeight="1">
      <c r="A5" s="496"/>
      <c r="B5" s="497"/>
      <c r="C5" s="497"/>
      <c r="D5" s="497"/>
      <c r="E5" s="497"/>
      <c r="F5" s="497"/>
      <c r="G5" s="497"/>
      <c r="H5" s="497"/>
      <c r="I5" s="504"/>
      <c r="J5" s="505"/>
      <c r="L5" s="3"/>
      <c r="M5" s="3"/>
      <c r="N5" s="208" t="s">
        <v>1523</v>
      </c>
      <c r="O5" s="211">
        <f>NT_I!Q1</f>
        <v>1</v>
      </c>
      <c r="P5" s="212">
        <f>NT_I!Q2</f>
        <v>1</v>
      </c>
      <c r="Q5" s="232">
        <f>NT_I!Q3</f>
        <v>1</v>
      </c>
      <c r="R5" s="211" t="s">
        <v>1197</v>
      </c>
      <c r="S5" s="232">
        <f>IF(RefStr!C19&lt;&gt;"",IF(ISERROR(INT(RefStr!C19)),0,RefStr!C19),0)</f>
        <v>2</v>
      </c>
      <c r="T5" s="211" t="s">
        <v>2351</v>
      </c>
      <c r="U5" s="232" t="str">
        <f>RefStr!H27</f>
        <v>03145662</v>
      </c>
      <c r="V5" s="211" t="s">
        <v>2356</v>
      </c>
      <c r="W5" s="232" t="str">
        <f>RefStr!C33</f>
        <v>BANA JELAČIĆA  16</v>
      </c>
      <c r="X5" s="234" t="s">
        <v>2516</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2352</v>
      </c>
      <c r="U6" s="232" t="str">
        <f>RefStr!M27</f>
        <v>040000817</v>
      </c>
      <c r="V6" s="211" t="s">
        <v>2567</v>
      </c>
      <c r="W6" s="232" t="str">
        <f>RefStr!L35</f>
        <v>051/241-203</v>
      </c>
      <c r="X6" s="211" t="s">
        <v>2513</v>
      </c>
      <c r="Y6" s="232" t="str">
        <f>RefStr!C68</f>
        <v>NATALI  IVANČIĆ MAJETIĆ</v>
      </c>
      <c r="Z6" s="211" t="s">
        <v>1415</v>
      </c>
      <c r="AA6" s="232">
        <f>RefStr!C46</f>
        <v>0</v>
      </c>
    </row>
    <row r="7" spans="1:27" ht="13.5" customHeight="1">
      <c r="A7" s="496"/>
      <c r="B7" s="497"/>
      <c r="C7" s="497"/>
      <c r="D7" s="497"/>
      <c r="E7" s="497"/>
      <c r="F7" s="497"/>
      <c r="G7" s="497"/>
      <c r="H7" s="497"/>
      <c r="I7" s="222" t="s">
        <v>16</v>
      </c>
      <c r="J7" s="224">
        <f>SUM(M12:M120)</f>
        <v>0</v>
      </c>
      <c r="N7" s="208" t="s">
        <v>542</v>
      </c>
      <c r="O7" s="211">
        <f>PK!AA1</f>
        <v>1</v>
      </c>
      <c r="P7" s="212">
        <f>PK!AA2</f>
        <v>1</v>
      </c>
      <c r="Q7" s="232">
        <f>PK!AA3</f>
        <v>1</v>
      </c>
      <c r="R7" s="211" t="s">
        <v>2568</v>
      </c>
      <c r="S7" s="232">
        <f>IF(RefStr!C44&lt;&gt;"",IF(ISERROR(INT(RefStr!C44)),0,RefStr!C44),0)</f>
        <v>1</v>
      </c>
      <c r="T7" s="211" t="s">
        <v>1862</v>
      </c>
      <c r="U7" s="232">
        <f>RefStr!C7</f>
        <v>4</v>
      </c>
      <c r="V7" s="211" t="s">
        <v>1193</v>
      </c>
      <c r="W7" s="232" t="str">
        <f>TRIM(UPPER(RefStr!C35))</f>
        <v>UPRAVA@JADRAN-CRIKVENICA.HR</v>
      </c>
      <c r="X7" s="211" t="s">
        <v>2514</v>
      </c>
      <c r="Y7" s="232" t="str">
        <f>RefStr!C70</f>
        <v>051/800-482</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Dioničko društvo</v>
      </c>
      <c r="V8" s="211" t="s">
        <v>2573</v>
      </c>
      <c r="W8" s="232" t="str">
        <f>RefStr!C42</f>
        <v>5510</v>
      </c>
      <c r="X8" s="211" t="s">
        <v>2515</v>
      </c>
      <c r="Y8" s="232" t="str">
        <f>TRIM(UPPER(RefStr!C72))</f>
        <v>NATALI.IVANCIC@JADRAN-CRIKVENICA.HR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264</v>
      </c>
      <c r="Q9" s="231">
        <f>RefStr!F58</f>
        <v>312</v>
      </c>
      <c r="R9" s="211" t="s">
        <v>1860</v>
      </c>
      <c r="S9" s="232">
        <f>IF(RefStr!F4&lt;&gt;"",RefStr!F4,0)</f>
        <v>43100</v>
      </c>
      <c r="T9" s="211" t="s">
        <v>1821</v>
      </c>
      <c r="U9" s="232">
        <f>RefStr!C39</f>
        <v>53</v>
      </c>
      <c r="V9" s="211" t="s">
        <v>1414</v>
      </c>
      <c r="W9" s="232" t="str">
        <f>RefStr!D42</f>
        <v>Hoteli i sličan smještaj</v>
      </c>
      <c r="X9" s="238" t="s">
        <v>221</v>
      </c>
      <c r="Y9" s="239" t="str">
        <f>RefStr!I66</f>
        <v>DA</v>
      </c>
      <c r="Z9" s="236" t="s">
        <v>219</v>
      </c>
      <c r="AA9" s="237" t="str">
        <f>RefStr!I64</f>
        <v>DA</v>
      </c>
    </row>
    <row r="10" spans="1:27" ht="13.5" customHeight="1">
      <c r="A10" s="507"/>
      <c r="B10" s="507"/>
      <c r="C10" s="507"/>
      <c r="D10" s="507"/>
      <c r="E10" s="507"/>
      <c r="F10" s="507"/>
      <c r="G10" s="507"/>
      <c r="H10" s="507"/>
      <c r="I10" s="507"/>
      <c r="J10" s="507"/>
      <c r="L10" s="195"/>
      <c r="M10" s="195"/>
      <c r="O10" s="230" t="s">
        <v>2123</v>
      </c>
      <c r="P10" s="213">
        <f>RefStr!C56</f>
        <v>244</v>
      </c>
      <c r="Q10" s="233">
        <f>RefStr!F56</f>
        <v>292</v>
      </c>
      <c r="R10" s="213" t="s">
        <v>1863</v>
      </c>
      <c r="S10" s="233">
        <f>RefStr!C23</f>
        <v>1</v>
      </c>
      <c r="T10" s="213" t="s">
        <v>2572</v>
      </c>
      <c r="U10" s="233" t="str">
        <f>RefStr!D39</f>
        <v>Crikvenica</v>
      </c>
      <c r="V10" s="240"/>
      <c r="W10" s="241"/>
      <c r="X10" s="242" t="s">
        <v>1974</v>
      </c>
      <c r="Y10" s="243">
        <f>RefStr!F12</f>
        <v>2017</v>
      </c>
      <c r="Z10" s="213" t="s">
        <v>209</v>
      </c>
      <c r="AA10" s="233" t="str">
        <f>RefStr!A75</f>
        <v>MATIĆ  PERO</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2570</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2531</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2530</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2563</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2564</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2565</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2566</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2571</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2532</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2511</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2327</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2328</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90"/>
      <c r="E50" s="490"/>
      <c r="F50" s="490"/>
      <c r="G50" s="490"/>
      <c r="H50" s="490"/>
      <c r="I50" s="490"/>
      <c r="J50" s="490"/>
      <c r="L50" s="195">
        <f>IF(N50&lt;&gt;S3,1,0)</f>
        <v>0</v>
      </c>
      <c r="M50" s="195"/>
      <c r="N50" s="195">
        <f>IF(P8&gt;0,O50,AC50)</f>
        <v>3</v>
      </c>
      <c r="O50" s="199">
        <f>IF(SUM(Y50:AA50)&gt;1,4,IF(SUM(U50:W50)&gt;1,3,IF(SUM(Q50:S50)&gt;1,2,IF(S6="DA",2,1))))</f>
        <v>3</v>
      </c>
      <c r="P50" s="202" t="s">
        <v>2665</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1</v>
      </c>
      <c r="Z50" s="201">
        <f>IF(RDG!I60&gt;300000000,1,0)</f>
        <v>0</v>
      </c>
      <c r="AA50" s="201">
        <f>IF(P10&gt;250,1,0)</f>
        <v>0</v>
      </c>
      <c r="AC50" s="199">
        <f>IF(SUM(AM50:AO50)&gt;1,4,IF(SUM(AI50:AK50)&gt;1,3,IF(SUM(AE50:AG50)&gt;1,2,IF(S6="DA",2,1))))</f>
        <v>4</v>
      </c>
      <c r="AD50" s="202" t="s">
        <v>2665</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1</v>
      </c>
      <c r="AN50" s="201">
        <f>IF(S9&gt;S8,IF(RDG!J60*365/(S9-S8)&gt;300000000,1,0),0)</f>
        <v>0</v>
      </c>
      <c r="AO50" s="201">
        <f>IF(Q10&gt;250,1,0)</f>
        <v>1</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2895</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2896</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2538</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2894</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2533</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2534</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2535</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2536</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2537</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2905</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2906</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2242</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53" ht="9.75"/>
    <row r="154" ht="9.7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35" activePane="bottomLeft" state="frozen"/>
      <selection pane="topLeft" activeCell="A1" sqref="A1"/>
      <selection pane="bottomLeft" activeCell="I54" sqref="I5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295" t="s">
        <v>1526</v>
      </c>
      <c r="B7" s="296"/>
      <c r="C7" s="15">
        <v>4</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2174</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2727</v>
      </c>
      <c r="F12" s="329">
        <v>2017</v>
      </c>
      <c r="G12" s="330"/>
      <c r="H12" s="322" t="s">
        <v>2105</v>
      </c>
      <c r="I12" s="323"/>
      <c r="J12" s="323"/>
      <c r="K12" s="156"/>
      <c r="L12" s="156"/>
      <c r="M12" s="156"/>
      <c r="N12" s="156"/>
      <c r="P12" s="54" t="s">
        <v>2352</v>
      </c>
      <c r="Q12" s="55">
        <f>INT(VALUE(H27))/10</f>
        <v>314566.2</v>
      </c>
    </row>
    <row r="13" spans="4:17" ht="9.75" customHeight="1">
      <c r="D13" s="156"/>
      <c r="E13" s="162"/>
      <c r="H13" s="27"/>
      <c r="I13" s="163"/>
      <c r="J13" s="163"/>
      <c r="K13" s="156"/>
      <c r="L13" s="156"/>
      <c r="M13" s="156"/>
      <c r="N13" s="156"/>
      <c r="P13" s="54" t="s">
        <v>2352</v>
      </c>
      <c r="Q13" s="55">
        <f>INT(VALUE(M27))/50</f>
        <v>800016.34</v>
      </c>
    </row>
    <row r="14" spans="1:17" ht="15">
      <c r="A14" s="321" t="s">
        <v>2713</v>
      </c>
      <c r="B14" s="321"/>
      <c r="C14" s="321"/>
      <c r="D14" s="164"/>
      <c r="E14" s="165"/>
      <c r="F14" s="319"/>
      <c r="G14" s="320"/>
      <c r="H14" s="320"/>
      <c r="I14" s="156"/>
      <c r="J14" s="327" t="s">
        <v>2100</v>
      </c>
      <c r="K14" s="328"/>
      <c r="L14" s="328"/>
      <c r="M14" s="328"/>
      <c r="N14" s="328"/>
      <c r="P14" s="54" t="s">
        <v>2717</v>
      </c>
      <c r="Q14" s="55">
        <f>INT(VALUE(C27))/100</f>
        <v>569949999.63</v>
      </c>
    </row>
    <row r="15" spans="1:17" ht="19.5" customHeight="1">
      <c r="A15" s="324">
        <f>Skriveni!B59</f>
        <v>12419988060.619997</v>
      </c>
      <c r="B15" s="325"/>
      <c r="C15" s="326"/>
      <c r="D15" s="60"/>
      <c r="E15" s="60"/>
      <c r="F15" s="60"/>
      <c r="G15" s="60"/>
      <c r="H15" s="60"/>
      <c r="I15" s="60"/>
      <c r="J15" s="60"/>
      <c r="K15" s="60"/>
      <c r="L15" s="60"/>
      <c r="M15" s="60"/>
      <c r="N15" s="60"/>
      <c r="P15" s="54" t="s">
        <v>1817</v>
      </c>
      <c r="Q15" s="55">
        <f>LEN(Skriveni!B9)</f>
        <v>11</v>
      </c>
    </row>
    <row r="16" spans="4:17" ht="12.75" customHeight="1">
      <c r="D16" s="60"/>
      <c r="E16" s="60"/>
      <c r="F16" s="60"/>
      <c r="G16" s="60"/>
      <c r="H16" s="60"/>
      <c r="I16" s="60"/>
      <c r="P16" s="54" t="s">
        <v>1818</v>
      </c>
      <c r="Q16" s="55">
        <f>INT(VALUE(C31))/100</f>
        <v>512.6</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10</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2715</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2966</v>
      </c>
      <c r="P19" s="54" t="s">
        <v>1820</v>
      </c>
      <c r="Q19" s="55">
        <f>LEN(Skriveni!B12)</f>
        <v>16</v>
      </c>
    </row>
    <row r="20" spans="1:17" ht="4.5" customHeight="1">
      <c r="A20" s="13"/>
      <c r="B20" s="47"/>
      <c r="C20" s="34"/>
      <c r="I20" s="34"/>
      <c r="M20" s="146"/>
      <c r="N20" s="166"/>
      <c r="Q20" s="55"/>
    </row>
    <row r="21" spans="1:17" ht="15" customHeight="1">
      <c r="A21" s="272" t="s">
        <v>2108</v>
      </c>
      <c r="B21" s="280"/>
      <c r="C21" s="36" t="s">
        <v>2618</v>
      </c>
      <c r="D21" s="193" t="s">
        <v>2111</v>
      </c>
      <c r="E21" s="282" t="s">
        <v>2109</v>
      </c>
      <c r="F21" s="298"/>
      <c r="G21" s="298"/>
      <c r="H21" s="333"/>
      <c r="I21" s="36" t="s">
        <v>2138</v>
      </c>
      <c r="J21" s="374" t="s">
        <v>2110</v>
      </c>
      <c r="K21" s="373"/>
      <c r="L21" s="274" t="s">
        <v>2952</v>
      </c>
      <c r="M21" s="342"/>
      <c r="N21" s="277"/>
      <c r="P21" s="54" t="s">
        <v>1821</v>
      </c>
      <c r="Q21" s="55">
        <f>INT(VALUE(C39))</f>
        <v>53</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2916</v>
      </c>
      <c r="Q23" s="55">
        <f>INT(VALUE(C42))</f>
        <v>5510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2405</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2714</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51260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42</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53</v>
      </c>
      <c r="D39" s="348" t="str">
        <f>IF(C39="","Šifra grada/općine nije upisana",IF(ISNA(LOOKUP(C39,A177:A732,A177:A732)),"Šifra grada/općine ne postoji",IF(LOOKUP(C39,A177:A732,A177:A732)&lt;&gt;C39,"Šifra grada/općine ne postoji",LOOKUP(C39,A177:A732,B177:B732))))</f>
        <v>Crikvenica</v>
      </c>
      <c r="E39" s="349"/>
      <c r="F39" s="349"/>
      <c r="G39" s="349"/>
      <c r="H39" s="272" t="s">
        <v>2221</v>
      </c>
      <c r="I39" s="344"/>
      <c r="J39" s="58">
        <f>IF(C39&gt;0,LOOKUP(C39,A177:A732,C177:C732),"")</f>
        <v>8</v>
      </c>
      <c r="K39" s="351" t="str">
        <f>IF(J39="","Treba prvo upisati šifru grada/općine",LOOKUP(J39,A153:A173,B153:B173))</f>
        <v>PRIMORSKO-GORANSKA</v>
      </c>
      <c r="L39" s="351"/>
      <c r="M39" s="351"/>
      <c r="N39" s="351"/>
      <c r="P39" s="54" t="s">
        <v>1826</v>
      </c>
      <c r="Q39" s="55">
        <f>C56+2*F56+3*C58+4*F58</f>
        <v>2868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2368</v>
      </c>
      <c r="B42" s="283"/>
      <c r="C42" s="41" t="s">
        <v>1910</v>
      </c>
      <c r="D42" s="353" t="str">
        <f>IF(C42="","Šifra NKD-a nije upisana",IF(ISNA(LOOKUP(C42,A736:A1351,A736:A1351)),"Šifra NKD-a ne postoji",IF(LOOKUP(C42,A736:A1351,A736:A1351)&lt;&gt;C42,"Šifra NKD-a ne postoji",LOOKUP(C42,A736:A1351,B736:B1351))))</f>
        <v>Hoteli i sličan smještaj</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10</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800729266.94</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2716</v>
      </c>
      <c r="B50" s="283"/>
      <c r="C50" s="43">
        <v>3</v>
      </c>
      <c r="D50" s="379" t="str">
        <f>IF(C50="","Oznaka veličine nije upisana",IF(ISNA(LOOKUP(C50,A124:A127,A124:A127)),"Nepostojeća oznaka veličine",IF(LOOKUP(C50,A124:A127,A124:A127)&lt;&gt;C50,"Nepostojeća oznaka veličine",LOOKUP(C50,A124:A127,B124:B127))))</f>
        <v>Srednji poduzetnik</v>
      </c>
      <c r="E50" s="300"/>
      <c r="F50" s="300"/>
      <c r="G50" s="300"/>
      <c r="H50" s="300"/>
      <c r="I50" s="377" t="s">
        <v>2575</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42</v>
      </c>
      <c r="D52" s="352" t="str">
        <f>IF(C52="","Oznaka vlasništva nije upisana",IF(ISNA(LOOKUP(C52,A80:A87,A80:A87)),"Nepostojeća oznaka vlasništva",IF(LOOKUP(C52,A80:A87,A80:A87)&lt;&gt;C52,"Nepostojeća oznaka vlasništva",LOOKUP(C52,A80:A87,B80:B87))))</f>
        <v>Mješovito vlasništvo s preko 50% državnog kapitala</v>
      </c>
      <c r="E52" s="298"/>
      <c r="F52" s="298"/>
      <c r="G52" s="298"/>
      <c r="H52" s="298"/>
      <c r="I52" s="5" t="str">
        <f>IF(OR(Bilanca!Q1=1,RDG!Q1=1,N6="NE"),"DA","NE")</f>
        <v>DA</v>
      </c>
      <c r="J52" s="350" t="s">
        <v>242</v>
      </c>
      <c r="K52" s="312"/>
      <c r="L52" s="312"/>
      <c r="M52" s="312"/>
      <c r="N52" s="312"/>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2568</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244</v>
      </c>
      <c r="D56" s="270" t="s">
        <v>2897</v>
      </c>
      <c r="E56" s="380"/>
      <c r="F56" s="44">
        <v>292</v>
      </c>
      <c r="G56" s="270" t="s">
        <v>2898</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2225</v>
      </c>
      <c r="B58" s="269"/>
      <c r="C58" s="44">
        <v>264</v>
      </c>
      <c r="D58" s="278" t="s">
        <v>2897</v>
      </c>
      <c r="E58" s="278"/>
      <c r="F58" s="44">
        <v>312</v>
      </c>
      <c r="G58" s="278" t="s">
        <v>2898</v>
      </c>
      <c r="H58" s="278"/>
      <c r="I58" s="5" t="str">
        <f>IF(OR(NT_I!Q1&lt;&gt;0,NT_D!Q1&lt;&gt;0),"DA","NE")</f>
        <v>DA</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2897</v>
      </c>
      <c r="E60" s="278"/>
      <c r="F60" s="44">
        <v>12</v>
      </c>
      <c r="G60" s="278" t="s">
        <v>2898</v>
      </c>
      <c r="H60" s="278"/>
      <c r="I60" s="227" t="str">
        <f>IF(PK!AA1=1,"DA","NE")</f>
        <v>DA</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58" t="s">
        <v>2718</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59" t="s">
        <v>2116</v>
      </c>
      <c r="D64" s="298"/>
      <c r="E64" s="298"/>
      <c r="F64" s="298"/>
      <c r="G64" s="156"/>
      <c r="H64" s="156"/>
      <c r="I64" s="226" t="s">
        <v>2138</v>
      </c>
      <c r="J64" s="358" t="s">
        <v>2719</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2224</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2574</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4" activePane="bottomLeft" state="frozen"/>
      <selection pane="topLeft" activeCell="A1" sqref="A1"/>
      <selection pane="bottomLeft" activeCell="I66" sqref="I66"/>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90" t="s">
        <v>138</v>
      </c>
      <c r="B2" s="391"/>
      <c r="C2" s="391"/>
      <c r="D2" s="391"/>
      <c r="E2" s="391"/>
      <c r="F2" s="391"/>
      <c r="G2" s="391"/>
      <c r="H2" s="391"/>
      <c r="I2" s="392"/>
      <c r="J2" s="388" t="s">
        <v>2589</v>
      </c>
      <c r="Q2" s="74">
        <f>IF(OR(MIN(I9:I133)&lt;0,MAX(I9:I133)&gt;0),1,0)</f>
        <v>1</v>
      </c>
      <c r="R2" s="73" t="s">
        <v>2585</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2586</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56994999963; JADRAN D.D.</v>
      </c>
      <c r="B5" s="397"/>
      <c r="C5" s="397"/>
      <c r="D5" s="397"/>
      <c r="E5" s="397"/>
      <c r="F5" s="397"/>
      <c r="G5" s="397"/>
      <c r="H5" s="397"/>
      <c r="I5" s="397"/>
      <c r="J5" s="398"/>
      <c r="Q5" s="2">
        <f>IF(I96&lt;&gt;0,1,0)</f>
        <v>0</v>
      </c>
      <c r="R5" s="73" t="s">
        <v>2587</v>
      </c>
    </row>
    <row r="6" spans="1:18" ht="24.75" customHeight="1" thickBot="1">
      <c r="A6" s="399" t="s">
        <v>719</v>
      </c>
      <c r="B6" s="400"/>
      <c r="C6" s="400"/>
      <c r="D6" s="400"/>
      <c r="E6" s="400"/>
      <c r="F6" s="400"/>
      <c r="G6" s="102" t="s">
        <v>799</v>
      </c>
      <c r="H6" s="102" t="s">
        <v>1968</v>
      </c>
      <c r="I6" s="102" t="s">
        <v>2291</v>
      </c>
      <c r="J6" s="103" t="s">
        <v>2292</v>
      </c>
      <c r="Q6" s="2">
        <f>IF(J96&lt;&gt;0,1,0)</f>
        <v>0</v>
      </c>
      <c r="R6" s="73" t="s">
        <v>2588</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591217891</v>
      </c>
      <c r="J10" s="70">
        <f>J11+J18+J28+J39+J44</f>
        <v>634132150</v>
      </c>
    </row>
    <row r="11" spans="1:10" ht="13.5" customHeight="1">
      <c r="A11" s="384" t="s">
        <v>1850</v>
      </c>
      <c r="B11" s="384"/>
      <c r="C11" s="384"/>
      <c r="D11" s="384"/>
      <c r="E11" s="384"/>
      <c r="F11" s="384"/>
      <c r="G11" s="19">
        <v>3</v>
      </c>
      <c r="H11" s="20"/>
      <c r="I11" s="70">
        <f>SUM(I12:I17)</f>
        <v>309375</v>
      </c>
      <c r="J11" s="70">
        <f>SUM(J12:J17)</f>
        <v>196720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t="s">
        <v>2967</v>
      </c>
      <c r="I13" s="71">
        <v>299990</v>
      </c>
      <c r="J13" s="71">
        <v>196720</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v>9385</v>
      </c>
      <c r="J16" s="71">
        <v>0</v>
      </c>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587361805</v>
      </c>
      <c r="J18" s="70">
        <f>SUM(J19:J27)</f>
        <v>630388719</v>
      </c>
    </row>
    <row r="19" spans="1:10" ht="13.5" customHeight="1">
      <c r="A19" s="383" t="s">
        <v>2175</v>
      </c>
      <c r="B19" s="383"/>
      <c r="C19" s="383"/>
      <c r="D19" s="383"/>
      <c r="E19" s="383"/>
      <c r="F19" s="383"/>
      <c r="G19" s="19">
        <v>11</v>
      </c>
      <c r="H19" s="20" t="s">
        <v>2968</v>
      </c>
      <c r="I19" s="71">
        <v>298461517</v>
      </c>
      <c r="J19" s="71">
        <v>298373064</v>
      </c>
    </row>
    <row r="20" spans="1:10" ht="13.5" customHeight="1">
      <c r="A20" s="383" t="s">
        <v>543</v>
      </c>
      <c r="B20" s="383"/>
      <c r="C20" s="383"/>
      <c r="D20" s="383"/>
      <c r="E20" s="383"/>
      <c r="F20" s="383"/>
      <c r="G20" s="19">
        <v>12</v>
      </c>
      <c r="H20" s="20" t="s">
        <v>2968</v>
      </c>
      <c r="I20" s="71">
        <v>266953640</v>
      </c>
      <c r="J20" s="71">
        <v>301254714</v>
      </c>
    </row>
    <row r="21" spans="1:10" ht="13.5" customHeight="1">
      <c r="A21" s="383" t="s">
        <v>2176</v>
      </c>
      <c r="B21" s="383"/>
      <c r="C21" s="383"/>
      <c r="D21" s="383"/>
      <c r="E21" s="383"/>
      <c r="F21" s="383"/>
      <c r="G21" s="19">
        <v>13</v>
      </c>
      <c r="H21" s="20" t="s">
        <v>2968</v>
      </c>
      <c r="I21" s="71">
        <v>16066254</v>
      </c>
      <c r="J21" s="71">
        <v>29023878</v>
      </c>
    </row>
    <row r="22" spans="1:10" ht="13.5" customHeight="1">
      <c r="A22" s="383" t="s">
        <v>2289</v>
      </c>
      <c r="B22" s="383"/>
      <c r="C22" s="383"/>
      <c r="D22" s="383"/>
      <c r="E22" s="383"/>
      <c r="F22" s="383"/>
      <c r="G22" s="19">
        <v>14</v>
      </c>
      <c r="H22" s="20" t="s">
        <v>2968</v>
      </c>
      <c r="I22" s="71">
        <v>304583</v>
      </c>
      <c r="J22" s="71">
        <v>258176</v>
      </c>
    </row>
    <row r="23" spans="1:10" ht="13.5" customHeight="1">
      <c r="A23" s="383" t="s">
        <v>2290</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t="s">
        <v>2968</v>
      </c>
      <c r="I25" s="71">
        <v>5575811</v>
      </c>
      <c r="J25" s="71">
        <v>1478887</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2643</v>
      </c>
      <c r="B28" s="384"/>
      <c r="C28" s="384"/>
      <c r="D28" s="384"/>
      <c r="E28" s="384"/>
      <c r="F28" s="384"/>
      <c r="G28" s="19">
        <v>20</v>
      </c>
      <c r="H28" s="20" t="s">
        <v>2969</v>
      </c>
      <c r="I28" s="70">
        <f>SUM(I29:I38)</f>
        <v>3212240</v>
      </c>
      <c r="J28" s="70">
        <f>SUM(J29:J38)</f>
        <v>3212240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v>3212240</v>
      </c>
      <c r="J38" s="71">
        <v>3212240</v>
      </c>
    </row>
    <row r="39" spans="1:10" ht="13.5" customHeight="1">
      <c r="A39" s="384" t="s">
        <v>2644</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v>334471</v>
      </c>
      <c r="J44" s="71">
        <v>334471</v>
      </c>
    </row>
    <row r="45" spans="1:10" ht="13.5" customHeight="1">
      <c r="A45" s="381" t="s">
        <v>2645</v>
      </c>
      <c r="B45" s="381"/>
      <c r="C45" s="381"/>
      <c r="D45" s="381"/>
      <c r="E45" s="381"/>
      <c r="F45" s="381"/>
      <c r="G45" s="19">
        <v>37</v>
      </c>
      <c r="H45" s="20"/>
      <c r="I45" s="70">
        <f>I46+I54+I61+I71</f>
        <v>8220083</v>
      </c>
      <c r="J45" s="70">
        <f>J46+J54+J61+J71</f>
        <v>6402498</v>
      </c>
    </row>
    <row r="46" spans="1:10" ht="13.5" customHeight="1">
      <c r="A46" s="384" t="s">
        <v>2646</v>
      </c>
      <c r="B46" s="384"/>
      <c r="C46" s="384"/>
      <c r="D46" s="384"/>
      <c r="E46" s="384"/>
      <c r="F46" s="384"/>
      <c r="G46" s="19">
        <v>38</v>
      </c>
      <c r="H46" s="20" t="s">
        <v>2970</v>
      </c>
      <c r="I46" s="70">
        <f>SUM(I47:I53)</f>
        <v>357320</v>
      </c>
      <c r="J46" s="70">
        <f>SUM(J47:J53)</f>
        <v>461667</v>
      </c>
    </row>
    <row r="47" spans="1:10" ht="13.5" customHeight="1">
      <c r="A47" s="383" t="s">
        <v>970</v>
      </c>
      <c r="B47" s="383"/>
      <c r="C47" s="383"/>
      <c r="D47" s="383"/>
      <c r="E47" s="383"/>
      <c r="F47" s="383"/>
      <c r="G47" s="19">
        <v>39</v>
      </c>
      <c r="H47" s="20"/>
      <c r="I47" s="71">
        <v>344141</v>
      </c>
      <c r="J47" s="71">
        <v>448206</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v>13179</v>
      </c>
      <c r="J50" s="71">
        <v>13461</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2647</v>
      </c>
      <c r="B54" s="384"/>
      <c r="C54" s="384"/>
      <c r="D54" s="384"/>
      <c r="E54" s="384"/>
      <c r="F54" s="384"/>
      <c r="G54" s="19">
        <v>46</v>
      </c>
      <c r="H54" s="20"/>
      <c r="I54" s="70">
        <f>SUM(I55:I60)</f>
        <v>2742825</v>
      </c>
      <c r="J54" s="70">
        <f>SUM(J55:J60)</f>
        <v>3288361</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2635</v>
      </c>
      <c r="B57" s="383"/>
      <c r="C57" s="383"/>
      <c r="D57" s="383"/>
      <c r="E57" s="383"/>
      <c r="F57" s="383"/>
      <c r="G57" s="19">
        <v>49</v>
      </c>
      <c r="H57" s="20" t="s">
        <v>2971</v>
      </c>
      <c r="I57" s="71">
        <v>1716549</v>
      </c>
      <c r="J57" s="71">
        <v>840228</v>
      </c>
    </row>
    <row r="58" spans="1:10" ht="13.5" customHeight="1">
      <c r="A58" s="383" t="s">
        <v>350</v>
      </c>
      <c r="B58" s="383"/>
      <c r="C58" s="383"/>
      <c r="D58" s="383"/>
      <c r="E58" s="383"/>
      <c r="F58" s="383"/>
      <c r="G58" s="19">
        <v>50</v>
      </c>
      <c r="H58" s="20"/>
      <c r="I58" s="71">
        <v>25181</v>
      </c>
      <c r="J58" s="71">
        <v>36495</v>
      </c>
    </row>
    <row r="59" spans="1:10" ht="13.5" customHeight="1">
      <c r="A59" s="383" t="s">
        <v>351</v>
      </c>
      <c r="B59" s="383"/>
      <c r="C59" s="383"/>
      <c r="D59" s="383"/>
      <c r="E59" s="383"/>
      <c r="F59" s="383"/>
      <c r="G59" s="19">
        <v>51</v>
      </c>
      <c r="H59" s="20"/>
      <c r="I59" s="71">
        <v>213530</v>
      </c>
      <c r="J59" s="71">
        <v>1172009</v>
      </c>
    </row>
    <row r="60" spans="1:10" ht="13.5" customHeight="1">
      <c r="A60" s="383" t="s">
        <v>2637</v>
      </c>
      <c r="B60" s="383"/>
      <c r="C60" s="383"/>
      <c r="D60" s="383"/>
      <c r="E60" s="383"/>
      <c r="F60" s="383"/>
      <c r="G60" s="19">
        <v>52</v>
      </c>
      <c r="H60" s="20" t="s">
        <v>2972</v>
      </c>
      <c r="I60" s="71">
        <v>787565</v>
      </c>
      <c r="J60" s="71">
        <v>1239629</v>
      </c>
    </row>
    <row r="61" spans="1:10" ht="13.5" customHeight="1">
      <c r="A61" s="384" t="s">
        <v>2648</v>
      </c>
      <c r="B61" s="384"/>
      <c r="C61" s="384"/>
      <c r="D61" s="384"/>
      <c r="E61" s="384"/>
      <c r="F61" s="384"/>
      <c r="G61" s="19">
        <v>53</v>
      </c>
      <c r="H61" s="20" t="s">
        <v>2973</v>
      </c>
      <c r="I61" s="70">
        <f>SUM(I62:I70)</f>
        <v>1209246</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t="s">
        <v>2973</v>
      </c>
      <c r="I69" s="71">
        <v>1209246</v>
      </c>
      <c r="J69" s="71">
        <v>0</v>
      </c>
    </row>
    <row r="70" spans="1:10" ht="13.5" customHeight="1">
      <c r="A70" s="383" t="s">
        <v>1038</v>
      </c>
      <c r="B70" s="383"/>
      <c r="C70" s="383"/>
      <c r="D70" s="383"/>
      <c r="E70" s="383"/>
      <c r="F70" s="383"/>
      <c r="G70" s="19">
        <v>62</v>
      </c>
      <c r="H70" s="20"/>
      <c r="I70" s="71"/>
      <c r="J70" s="71"/>
    </row>
    <row r="71" spans="1:10" ht="13.5" customHeight="1">
      <c r="A71" s="384" t="s">
        <v>2394</v>
      </c>
      <c r="B71" s="384"/>
      <c r="C71" s="384"/>
      <c r="D71" s="384"/>
      <c r="E71" s="384"/>
      <c r="F71" s="384"/>
      <c r="G71" s="19">
        <v>63</v>
      </c>
      <c r="H71" s="20" t="s">
        <v>2974</v>
      </c>
      <c r="I71" s="71">
        <v>3910692</v>
      </c>
      <c r="J71" s="71">
        <v>2652470</v>
      </c>
    </row>
    <row r="72" spans="1:10" ht="24.75" customHeight="1">
      <c r="A72" s="381" t="s">
        <v>1558</v>
      </c>
      <c r="B72" s="381"/>
      <c r="C72" s="381"/>
      <c r="D72" s="381"/>
      <c r="E72" s="381"/>
      <c r="F72" s="381"/>
      <c r="G72" s="19">
        <v>64</v>
      </c>
      <c r="H72" s="20" t="s">
        <v>2972</v>
      </c>
      <c r="I72" s="71">
        <v>1021735</v>
      </c>
      <c r="J72" s="71">
        <v>1831193</v>
      </c>
    </row>
    <row r="73" spans="1:10" ht="13.5" customHeight="1">
      <c r="A73" s="381" t="s">
        <v>2649</v>
      </c>
      <c r="B73" s="381"/>
      <c r="C73" s="381"/>
      <c r="D73" s="381"/>
      <c r="E73" s="381"/>
      <c r="F73" s="381"/>
      <c r="G73" s="19">
        <v>65</v>
      </c>
      <c r="H73" s="20"/>
      <c r="I73" s="70">
        <f>I9+I10+I45+I72</f>
        <v>600459709</v>
      </c>
      <c r="J73" s="70">
        <f>J9+J10+J45+J72</f>
        <v>642365841</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2650</v>
      </c>
      <c r="B76" s="381"/>
      <c r="C76" s="381"/>
      <c r="D76" s="381"/>
      <c r="E76" s="381"/>
      <c r="F76" s="381"/>
      <c r="G76" s="19">
        <v>67</v>
      </c>
      <c r="H76" s="20" t="s">
        <v>2975</v>
      </c>
      <c r="I76" s="70">
        <f>I77+I78+I79+I85+I86+I90+I93+I96</f>
        <v>528304162</v>
      </c>
      <c r="J76" s="70">
        <f>J77+J78+J79+J85+J86+J90+J93+J96</f>
        <v>524073513</v>
      </c>
      <c r="L76" s="2" t="s">
        <v>2590</v>
      </c>
    </row>
    <row r="77" spans="1:10" ht="13.5" customHeight="1">
      <c r="A77" s="384" t="s">
        <v>935</v>
      </c>
      <c r="B77" s="384"/>
      <c r="C77" s="384"/>
      <c r="D77" s="384"/>
      <c r="E77" s="384"/>
      <c r="F77" s="384"/>
      <c r="G77" s="19">
        <v>68</v>
      </c>
      <c r="H77" s="20"/>
      <c r="I77" s="71">
        <v>491316690</v>
      </c>
      <c r="J77" s="71">
        <v>491316690</v>
      </c>
    </row>
    <row r="78" spans="1:12" ht="13.5" customHeight="1">
      <c r="A78" s="384" t="s">
        <v>936</v>
      </c>
      <c r="B78" s="384"/>
      <c r="C78" s="384"/>
      <c r="D78" s="384"/>
      <c r="E78" s="384"/>
      <c r="F78" s="384"/>
      <c r="G78" s="19">
        <v>69</v>
      </c>
      <c r="H78" s="20"/>
      <c r="I78" s="71">
        <v>25401322</v>
      </c>
      <c r="J78" s="71">
        <v>25401322</v>
      </c>
      <c r="L78" s="2" t="s">
        <v>2590</v>
      </c>
    </row>
    <row r="79" spans="1:12" ht="13.5" customHeight="1">
      <c r="A79" s="384" t="s">
        <v>2472</v>
      </c>
      <c r="B79" s="384"/>
      <c r="C79" s="384"/>
      <c r="D79" s="384"/>
      <c r="E79" s="384"/>
      <c r="F79" s="384"/>
      <c r="G79" s="19">
        <v>70</v>
      </c>
      <c r="H79" s="20"/>
      <c r="I79" s="70">
        <f>I80+I81-I82+I83+I84</f>
        <v>0</v>
      </c>
      <c r="J79" s="70">
        <f>J80+J81-J82+J83+J84</f>
        <v>0</v>
      </c>
      <c r="L79" s="2" t="s">
        <v>2590</v>
      </c>
    </row>
    <row r="80" spans="1:10" ht="13.5" customHeight="1">
      <c r="A80" s="383" t="s">
        <v>2640</v>
      </c>
      <c r="B80" s="383"/>
      <c r="C80" s="383"/>
      <c r="D80" s="383"/>
      <c r="E80" s="383"/>
      <c r="F80" s="383"/>
      <c r="G80" s="19">
        <v>71</v>
      </c>
      <c r="H80" s="20"/>
      <c r="I80" s="71"/>
      <c r="J80" s="71"/>
    </row>
    <row r="81" spans="1:10" ht="13.5" customHeight="1">
      <c r="A81" s="383" t="s">
        <v>2641</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2590</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2651</v>
      </c>
      <c r="B90" s="384"/>
      <c r="C90" s="384"/>
      <c r="D90" s="384"/>
      <c r="E90" s="384"/>
      <c r="F90" s="384"/>
      <c r="G90" s="19">
        <v>81</v>
      </c>
      <c r="H90" s="20"/>
      <c r="I90" s="70">
        <f>I91-I92</f>
        <v>7751533</v>
      </c>
      <c r="J90" s="70">
        <f>J91-J92</f>
        <v>11586151</v>
      </c>
      <c r="L90" s="2" t="s">
        <v>2590</v>
      </c>
    </row>
    <row r="91" spans="1:10" ht="13.5" customHeight="1">
      <c r="A91" s="383" t="s">
        <v>1139</v>
      </c>
      <c r="B91" s="383"/>
      <c r="C91" s="383"/>
      <c r="D91" s="383"/>
      <c r="E91" s="383"/>
      <c r="F91" s="383"/>
      <c r="G91" s="19">
        <v>82</v>
      </c>
      <c r="H91" s="20"/>
      <c r="I91" s="71">
        <v>7751533</v>
      </c>
      <c r="J91" s="71">
        <v>11586151</v>
      </c>
    </row>
    <row r="92" spans="1:10" ht="13.5" customHeight="1">
      <c r="A92" s="383" t="s">
        <v>1140</v>
      </c>
      <c r="B92" s="383"/>
      <c r="C92" s="383"/>
      <c r="D92" s="383"/>
      <c r="E92" s="383"/>
      <c r="F92" s="383"/>
      <c r="G92" s="19">
        <v>83</v>
      </c>
      <c r="H92" s="20"/>
      <c r="I92" s="71"/>
      <c r="J92" s="71"/>
    </row>
    <row r="93" spans="1:12" ht="13.5" customHeight="1">
      <c r="A93" s="384" t="s">
        <v>2652</v>
      </c>
      <c r="B93" s="384"/>
      <c r="C93" s="384"/>
      <c r="D93" s="384"/>
      <c r="E93" s="384"/>
      <c r="F93" s="384"/>
      <c r="G93" s="19">
        <v>84</v>
      </c>
      <c r="H93" s="20"/>
      <c r="I93" s="70">
        <f>I94-I95</f>
        <v>3834617</v>
      </c>
      <c r="J93" s="70">
        <f>J94-J95</f>
        <v>-4230650</v>
      </c>
      <c r="L93" s="2" t="s">
        <v>2590</v>
      </c>
    </row>
    <row r="94" spans="1:10" ht="13.5" customHeight="1">
      <c r="A94" s="383" t="s">
        <v>2639</v>
      </c>
      <c r="B94" s="383"/>
      <c r="C94" s="383"/>
      <c r="D94" s="383"/>
      <c r="E94" s="383"/>
      <c r="F94" s="383"/>
      <c r="G94" s="19">
        <v>85</v>
      </c>
      <c r="H94" s="20"/>
      <c r="I94" s="71">
        <v>3834617</v>
      </c>
      <c r="J94" s="71"/>
    </row>
    <row r="95" spans="1:10" ht="13.5" customHeight="1">
      <c r="A95" s="383" t="s">
        <v>1141</v>
      </c>
      <c r="B95" s="383"/>
      <c r="C95" s="383"/>
      <c r="D95" s="383"/>
      <c r="E95" s="383"/>
      <c r="F95" s="383"/>
      <c r="G95" s="19">
        <v>86</v>
      </c>
      <c r="H95" s="20"/>
      <c r="I95" s="71"/>
      <c r="J95" s="71">
        <v>4230650</v>
      </c>
    </row>
    <row r="96" spans="1:12" ht="13.5" customHeight="1">
      <c r="A96" s="384" t="s">
        <v>2190</v>
      </c>
      <c r="B96" s="384"/>
      <c r="C96" s="384"/>
      <c r="D96" s="384"/>
      <c r="E96" s="384"/>
      <c r="F96" s="384"/>
      <c r="G96" s="19">
        <v>87</v>
      </c>
      <c r="H96" s="20"/>
      <c r="I96" s="71"/>
      <c r="J96" s="71"/>
      <c r="L96" s="2" t="s">
        <v>2590</v>
      </c>
    </row>
    <row r="97" spans="1:10" ht="13.5" customHeight="1">
      <c r="A97" s="381" t="s">
        <v>2653</v>
      </c>
      <c r="B97" s="381"/>
      <c r="C97" s="381"/>
      <c r="D97" s="381"/>
      <c r="E97" s="381"/>
      <c r="F97" s="381"/>
      <c r="G97" s="19">
        <v>88</v>
      </c>
      <c r="H97" s="20" t="s">
        <v>2976</v>
      </c>
      <c r="I97" s="70">
        <f>SUM(I98:I103)</f>
        <v>839413</v>
      </c>
      <c r="J97" s="70">
        <f>SUM(J98:J103)</f>
        <v>885032</v>
      </c>
    </row>
    <row r="98" spans="1:10" ht="13.5" customHeight="1">
      <c r="A98" s="383" t="s">
        <v>901</v>
      </c>
      <c r="B98" s="383"/>
      <c r="C98" s="383"/>
      <c r="D98" s="383"/>
      <c r="E98" s="383"/>
      <c r="F98" s="383"/>
      <c r="G98" s="19">
        <v>89</v>
      </c>
      <c r="H98" s="20"/>
      <c r="I98" s="71">
        <v>392923</v>
      </c>
      <c r="J98" s="71">
        <v>438542</v>
      </c>
    </row>
    <row r="99" spans="1:10" ht="13.5" customHeight="1">
      <c r="A99" s="383" t="s">
        <v>902</v>
      </c>
      <c r="B99" s="383"/>
      <c r="C99" s="383"/>
      <c r="D99" s="383"/>
      <c r="E99" s="383"/>
      <c r="F99" s="383"/>
      <c r="G99" s="19">
        <v>90</v>
      </c>
      <c r="H99" s="20"/>
      <c r="I99" s="71"/>
      <c r="J99" s="71"/>
    </row>
    <row r="100" spans="1:10" ht="13.5" customHeight="1">
      <c r="A100" s="383" t="s">
        <v>2638</v>
      </c>
      <c r="B100" s="383"/>
      <c r="C100" s="383"/>
      <c r="D100" s="383"/>
      <c r="E100" s="383"/>
      <c r="F100" s="383"/>
      <c r="G100" s="19">
        <v>91</v>
      </c>
      <c r="H100" s="20"/>
      <c r="I100" s="71">
        <v>446490</v>
      </c>
      <c r="J100" s="71">
        <v>446490</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2191</v>
      </c>
      <c r="B103" s="383"/>
      <c r="C103" s="383"/>
      <c r="D103" s="383"/>
      <c r="E103" s="383"/>
      <c r="F103" s="383"/>
      <c r="G103" s="19">
        <v>94</v>
      </c>
      <c r="H103" s="20"/>
      <c r="I103" s="71"/>
      <c r="J103" s="71"/>
    </row>
    <row r="104" spans="1:10" ht="13.5" customHeight="1">
      <c r="A104" s="381" t="s">
        <v>2654</v>
      </c>
      <c r="B104" s="381"/>
      <c r="C104" s="381"/>
      <c r="D104" s="381"/>
      <c r="E104" s="381"/>
      <c r="F104" s="381"/>
      <c r="G104" s="19">
        <v>95</v>
      </c>
      <c r="H104" s="20"/>
      <c r="I104" s="70">
        <f>SUM(I105:I115)</f>
        <v>52538665</v>
      </c>
      <c r="J104" s="70">
        <f>SUM(J105:J115)</f>
        <v>93486996</v>
      </c>
    </row>
    <row r="105" spans="1:10" ht="13.5" customHeight="1">
      <c r="A105" s="383" t="s">
        <v>2192</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t="s">
        <v>2977</v>
      </c>
      <c r="I110" s="71">
        <v>43008026</v>
      </c>
      <c r="J110" s="71">
        <v>84935655</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v>0</v>
      </c>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t="s">
        <v>2978</v>
      </c>
      <c r="I114" s="71">
        <v>9530639</v>
      </c>
      <c r="J114" s="71">
        <v>8551341</v>
      </c>
    </row>
    <row r="115" spans="1:10" ht="13.5" customHeight="1">
      <c r="A115" s="383" t="s">
        <v>503</v>
      </c>
      <c r="B115" s="383"/>
      <c r="C115" s="383"/>
      <c r="D115" s="383"/>
      <c r="E115" s="383"/>
      <c r="F115" s="383"/>
      <c r="G115" s="19">
        <v>106</v>
      </c>
      <c r="H115" s="20"/>
      <c r="I115" s="71"/>
      <c r="J115" s="71"/>
    </row>
    <row r="116" spans="1:10" ht="13.5" customHeight="1">
      <c r="A116" s="381" t="s">
        <v>2655</v>
      </c>
      <c r="B116" s="381"/>
      <c r="C116" s="381"/>
      <c r="D116" s="381"/>
      <c r="E116" s="381"/>
      <c r="F116" s="381"/>
      <c r="G116" s="19">
        <v>107</v>
      </c>
      <c r="H116" s="20"/>
      <c r="I116" s="70">
        <f>SUM(I117:I130)</f>
        <v>14757483</v>
      </c>
      <c r="J116" s="70">
        <f>SUM(J117:J130)</f>
        <v>22065505</v>
      </c>
    </row>
    <row r="117" spans="1:10" ht="13.5" customHeight="1">
      <c r="A117" s="383" t="s">
        <v>2192</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t="s">
        <v>2979</v>
      </c>
      <c r="I121" s="71">
        <v>454000</v>
      </c>
      <c r="J121" s="71">
        <v>500946</v>
      </c>
    </row>
    <row r="122" spans="1:10" ht="13.5" customHeight="1">
      <c r="A122" s="383" t="s">
        <v>362</v>
      </c>
      <c r="B122" s="383"/>
      <c r="C122" s="383"/>
      <c r="D122" s="383"/>
      <c r="E122" s="383"/>
      <c r="F122" s="383"/>
      <c r="G122" s="19">
        <v>113</v>
      </c>
      <c r="H122" s="20" t="s">
        <v>2980</v>
      </c>
      <c r="I122" s="71">
        <v>2737182</v>
      </c>
      <c r="J122" s="71">
        <v>4453581</v>
      </c>
    </row>
    <row r="123" spans="1:10" ht="13.5" customHeight="1">
      <c r="A123" s="383" t="s">
        <v>357</v>
      </c>
      <c r="B123" s="383"/>
      <c r="C123" s="383"/>
      <c r="D123" s="383"/>
      <c r="E123" s="383"/>
      <c r="F123" s="383"/>
      <c r="G123" s="19">
        <v>114</v>
      </c>
      <c r="H123" s="20" t="s">
        <v>2979</v>
      </c>
      <c r="I123" s="71">
        <v>3092816</v>
      </c>
      <c r="J123" s="71">
        <v>3675372</v>
      </c>
    </row>
    <row r="124" spans="1:10" ht="13.5" customHeight="1">
      <c r="A124" s="383" t="s">
        <v>358</v>
      </c>
      <c r="B124" s="383"/>
      <c r="C124" s="383"/>
      <c r="D124" s="383"/>
      <c r="E124" s="383"/>
      <c r="F124" s="383"/>
      <c r="G124" s="19">
        <v>115</v>
      </c>
      <c r="H124" s="20" t="s">
        <v>2981</v>
      </c>
      <c r="I124" s="71">
        <v>5597262</v>
      </c>
      <c r="J124" s="71">
        <v>9767460</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t="s">
        <v>2982</v>
      </c>
      <c r="I126" s="71">
        <v>970188</v>
      </c>
      <c r="J126" s="71">
        <v>1297399</v>
      </c>
    </row>
    <row r="127" spans="1:10" ht="13.5" customHeight="1">
      <c r="A127" s="383" t="s">
        <v>364</v>
      </c>
      <c r="B127" s="383"/>
      <c r="C127" s="383"/>
      <c r="D127" s="383"/>
      <c r="E127" s="383"/>
      <c r="F127" s="383"/>
      <c r="G127" s="19">
        <v>118</v>
      </c>
      <c r="H127" s="20" t="s">
        <v>2983</v>
      </c>
      <c r="I127" s="71">
        <v>1870596</v>
      </c>
      <c r="J127" s="71">
        <v>1057945</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t="s">
        <v>2984</v>
      </c>
      <c r="I130" s="71">
        <v>35439</v>
      </c>
      <c r="J130" s="71">
        <v>1312802</v>
      </c>
    </row>
    <row r="131" spans="1:10" ht="24.75" customHeight="1">
      <c r="A131" s="381" t="s">
        <v>1560</v>
      </c>
      <c r="B131" s="381"/>
      <c r="C131" s="381"/>
      <c r="D131" s="381"/>
      <c r="E131" s="381"/>
      <c r="F131" s="381"/>
      <c r="G131" s="19">
        <v>122</v>
      </c>
      <c r="H131" s="20" t="s">
        <v>2984</v>
      </c>
      <c r="I131" s="71">
        <v>4019986</v>
      </c>
      <c r="J131" s="71">
        <v>1854795</v>
      </c>
    </row>
    <row r="132" spans="1:10" ht="13.5" customHeight="1">
      <c r="A132" s="381" t="s">
        <v>2656</v>
      </c>
      <c r="B132" s="381"/>
      <c r="C132" s="381"/>
      <c r="D132" s="381"/>
      <c r="E132" s="381"/>
      <c r="F132" s="381"/>
      <c r="G132" s="19">
        <v>123</v>
      </c>
      <c r="H132" s="20"/>
      <c r="I132" s="70">
        <f>I76+I97+I104+I116+I131</f>
        <v>600459709</v>
      </c>
      <c r="J132" s="70">
        <f>J76+J97+J104+J116+J131</f>
        <v>642365841</v>
      </c>
    </row>
    <row r="133" spans="1:10" ht="13.5" customHeight="1">
      <c r="A133" s="382" t="s">
        <v>662</v>
      </c>
      <c r="B133" s="382"/>
      <c r="C133" s="382"/>
      <c r="D133" s="382"/>
      <c r="E133" s="382"/>
      <c r="F133" s="382"/>
      <c r="G133" s="21">
        <v>124</v>
      </c>
      <c r="H133" s="22"/>
      <c r="I133" s="72"/>
      <c r="J133" s="72"/>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8" activePane="bottomLeft" state="frozen"/>
      <selection pane="topLeft" activeCell="A1" sqref="A1"/>
      <selection pane="bottomLeft" activeCell="H73" sqref="H7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2591</v>
      </c>
      <c r="Q2" s="74">
        <f>IF(OR(MIN(I8:I105)&lt;0,MAX(I8:I105)&gt;0),1,0)</f>
        <v>1</v>
      </c>
      <c r="R2" s="73" t="s">
        <v>2585</v>
      </c>
    </row>
    <row r="3" spans="1:18" s="2" customFormat="1" ht="19.5" customHeight="1" thickBot="1">
      <c r="A3" s="393" t="str">
        <f>"za razdoblje "&amp;IF(RefStr!C4&lt;&gt;"",TEXT(RefStr!C4,"DD.MM.YYYY."),"__.__.____.")&amp;" do "&amp;IF(RefStr!F4&lt;&gt;"",TEXT(RefStr!F4,"DD.MM.YYYY."),"__.__.____.")</f>
        <v>za razdoblje 01.01.2017. do 31.12.2017.</v>
      </c>
      <c r="B3" s="415"/>
      <c r="C3" s="415"/>
      <c r="D3" s="415"/>
      <c r="E3" s="415"/>
      <c r="F3" s="415"/>
      <c r="G3" s="415"/>
      <c r="H3" s="415"/>
      <c r="I3" s="416"/>
      <c r="J3" s="389"/>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56994999963; JADRAN D.D.</v>
      </c>
      <c r="B5" s="411"/>
      <c r="C5" s="411"/>
      <c r="D5" s="411"/>
      <c r="E5" s="411"/>
      <c r="F5" s="411"/>
      <c r="G5" s="411"/>
      <c r="H5" s="411"/>
      <c r="I5" s="411"/>
      <c r="J5" s="412"/>
      <c r="Q5" s="2">
        <f>IF(OR(MIN(I85:I87,I103:I105)&lt;0,MAX(I85:I87,I103:I105)&gt;0),1,0)</f>
        <v>0</v>
      </c>
      <c r="R5" s="73" t="s">
        <v>2587</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2588</v>
      </c>
    </row>
    <row r="7" spans="1:18" s="2" customFormat="1" ht="13.5" customHeight="1">
      <c r="A7" s="401">
        <v>1</v>
      </c>
      <c r="B7" s="402"/>
      <c r="C7" s="402"/>
      <c r="D7" s="402"/>
      <c r="E7" s="402"/>
      <c r="F7" s="402"/>
      <c r="G7" s="105">
        <v>2</v>
      </c>
      <c r="H7" s="105">
        <v>3</v>
      </c>
      <c r="I7" s="104">
        <v>4</v>
      </c>
      <c r="J7" s="106">
        <v>5</v>
      </c>
      <c r="Q7" s="2">
        <f>IF(OR(MIN(RDG!I89:J101)&lt;0,MAX(RDG!I89:J101)&gt;0),1,0)</f>
        <v>1</v>
      </c>
      <c r="R7" s="73" t="s">
        <v>800</v>
      </c>
    </row>
    <row r="8" spans="1:18" s="2" customFormat="1" ht="13.5" customHeight="1">
      <c r="A8" s="408" t="s">
        <v>1836</v>
      </c>
      <c r="B8" s="408"/>
      <c r="C8" s="408"/>
      <c r="D8" s="408"/>
      <c r="E8" s="408"/>
      <c r="F8" s="408"/>
      <c r="G8" s="17">
        <v>125</v>
      </c>
      <c r="H8" s="18"/>
      <c r="I8" s="84">
        <f>SUM(I9:I13)</f>
        <v>83584242</v>
      </c>
      <c r="J8" s="84">
        <f>SUM(J9:J13)</f>
        <v>83691077</v>
      </c>
      <c r="Q8" s="2">
        <f>IF(OR(MIN(I70:J75)&lt;&gt;0,MAX(I70:J75)&lt;&gt;0),1,0)</f>
        <v>0</v>
      </c>
      <c r="R8" s="73" t="s">
        <v>2596</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t="s">
        <v>2986</v>
      </c>
      <c r="I10" s="71">
        <v>67833349</v>
      </c>
      <c r="J10" s="71">
        <v>79544559</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2509</v>
      </c>
      <c r="B13" s="383"/>
      <c r="C13" s="383"/>
      <c r="D13" s="383"/>
      <c r="E13" s="383"/>
      <c r="F13" s="383"/>
      <c r="G13" s="19">
        <v>130</v>
      </c>
      <c r="H13" s="20" t="s">
        <v>2987</v>
      </c>
      <c r="I13" s="71">
        <v>15750893</v>
      </c>
      <c r="J13" s="71">
        <v>4146518</v>
      </c>
    </row>
    <row r="14" spans="1:10" s="2" customFormat="1" ht="13.5" customHeight="1">
      <c r="A14" s="381" t="s">
        <v>1837</v>
      </c>
      <c r="B14" s="381"/>
      <c r="C14" s="381"/>
      <c r="D14" s="381"/>
      <c r="E14" s="381"/>
      <c r="F14" s="381"/>
      <c r="G14" s="19">
        <v>131</v>
      </c>
      <c r="H14" s="20"/>
      <c r="I14" s="70">
        <f>I15+I16+I20+I24+I25+I26+I29+I36</f>
        <v>77809283</v>
      </c>
      <c r="J14" s="70">
        <f>J15+J16+J20+J24+J25+J26+J29+J36</f>
        <v>85224132</v>
      </c>
    </row>
    <row r="15" spans="1:12" s="2" customFormat="1" ht="13.5" customHeight="1">
      <c r="A15" s="383" t="s">
        <v>258</v>
      </c>
      <c r="B15" s="383"/>
      <c r="C15" s="383"/>
      <c r="D15" s="383"/>
      <c r="E15" s="383"/>
      <c r="F15" s="383"/>
      <c r="G15" s="19">
        <v>132</v>
      </c>
      <c r="H15" s="20"/>
      <c r="I15" s="71"/>
      <c r="J15" s="71"/>
      <c r="L15" s="2" t="s">
        <v>2590</v>
      </c>
    </row>
    <row r="16" spans="1:10" s="2" customFormat="1" ht="13.5" customHeight="1">
      <c r="A16" s="383" t="s">
        <v>1838</v>
      </c>
      <c r="B16" s="383"/>
      <c r="C16" s="383"/>
      <c r="D16" s="383"/>
      <c r="E16" s="383"/>
      <c r="F16" s="383"/>
      <c r="G16" s="19">
        <v>133</v>
      </c>
      <c r="H16" s="20"/>
      <c r="I16" s="70">
        <f>SUM(I17:I19)</f>
        <v>35848455</v>
      </c>
      <c r="J16" s="70">
        <f>SUM(J17:J19)</f>
        <v>40255103</v>
      </c>
    </row>
    <row r="17" spans="1:10" s="2" customFormat="1" ht="13.5" customHeight="1">
      <c r="A17" s="409" t="s">
        <v>504</v>
      </c>
      <c r="B17" s="409"/>
      <c r="C17" s="409"/>
      <c r="D17" s="409"/>
      <c r="E17" s="409"/>
      <c r="F17" s="409"/>
      <c r="G17" s="19">
        <v>134</v>
      </c>
      <c r="H17" s="20" t="s">
        <v>2988</v>
      </c>
      <c r="I17" s="71">
        <v>18621778</v>
      </c>
      <c r="J17" s="71">
        <v>20425319</v>
      </c>
    </row>
    <row r="18" spans="1:10" s="2" customFormat="1" ht="13.5" customHeight="1">
      <c r="A18" s="409" t="s">
        <v>505</v>
      </c>
      <c r="B18" s="409"/>
      <c r="C18" s="409"/>
      <c r="D18" s="409"/>
      <c r="E18" s="409"/>
      <c r="F18" s="409"/>
      <c r="G18" s="19">
        <v>135</v>
      </c>
      <c r="H18" s="20"/>
      <c r="I18" s="71">
        <v>109316</v>
      </c>
      <c r="J18" s="71">
        <v>102543</v>
      </c>
    </row>
    <row r="19" spans="1:10" s="2" customFormat="1" ht="13.5" customHeight="1">
      <c r="A19" s="409" t="s">
        <v>1426</v>
      </c>
      <c r="B19" s="409"/>
      <c r="C19" s="409"/>
      <c r="D19" s="409"/>
      <c r="E19" s="409"/>
      <c r="F19" s="409"/>
      <c r="G19" s="19">
        <v>136</v>
      </c>
      <c r="H19" s="20" t="s">
        <v>2989</v>
      </c>
      <c r="I19" s="71">
        <v>17117361</v>
      </c>
      <c r="J19" s="71">
        <v>19727241</v>
      </c>
    </row>
    <row r="20" spans="1:10" s="2" customFormat="1" ht="13.5" customHeight="1">
      <c r="A20" s="383" t="s">
        <v>1839</v>
      </c>
      <c r="B20" s="383"/>
      <c r="C20" s="383"/>
      <c r="D20" s="383"/>
      <c r="E20" s="383"/>
      <c r="F20" s="383"/>
      <c r="G20" s="19">
        <v>137</v>
      </c>
      <c r="H20" s="20" t="s">
        <v>2990</v>
      </c>
      <c r="I20" s="70">
        <f>SUM(I21:I23)</f>
        <v>22576409</v>
      </c>
      <c r="J20" s="70">
        <f>SUM(J21:J23)</f>
        <v>28273270</v>
      </c>
    </row>
    <row r="21" spans="1:10" s="2" customFormat="1" ht="13.5" customHeight="1">
      <c r="A21" s="409" t="s">
        <v>724</v>
      </c>
      <c r="B21" s="409"/>
      <c r="C21" s="409"/>
      <c r="D21" s="409"/>
      <c r="E21" s="409"/>
      <c r="F21" s="409"/>
      <c r="G21" s="19">
        <v>138</v>
      </c>
      <c r="H21" s="20"/>
      <c r="I21" s="71">
        <v>14728470</v>
      </c>
      <c r="J21" s="71">
        <v>18629215</v>
      </c>
    </row>
    <row r="22" spans="1:10" s="2" customFormat="1" ht="13.5" customHeight="1">
      <c r="A22" s="409" t="s">
        <v>961</v>
      </c>
      <c r="B22" s="409"/>
      <c r="C22" s="409"/>
      <c r="D22" s="409"/>
      <c r="E22" s="409"/>
      <c r="F22" s="409"/>
      <c r="G22" s="19">
        <v>139</v>
      </c>
      <c r="H22" s="20"/>
      <c r="I22" s="71">
        <v>4817694</v>
      </c>
      <c r="J22" s="71">
        <v>5859267</v>
      </c>
    </row>
    <row r="23" spans="1:10" s="2" customFormat="1" ht="13.5" customHeight="1">
      <c r="A23" s="409" t="s">
        <v>962</v>
      </c>
      <c r="B23" s="409"/>
      <c r="C23" s="409"/>
      <c r="D23" s="409"/>
      <c r="E23" s="409"/>
      <c r="F23" s="409"/>
      <c r="G23" s="19">
        <v>140</v>
      </c>
      <c r="H23" s="20"/>
      <c r="I23" s="71">
        <v>3030245</v>
      </c>
      <c r="J23" s="71">
        <v>3784788</v>
      </c>
    </row>
    <row r="24" spans="1:10" s="2" customFormat="1" ht="13.5" customHeight="1">
      <c r="A24" s="383" t="s">
        <v>259</v>
      </c>
      <c r="B24" s="383"/>
      <c r="C24" s="383"/>
      <c r="D24" s="383"/>
      <c r="E24" s="383"/>
      <c r="F24" s="383"/>
      <c r="G24" s="19">
        <v>141</v>
      </c>
      <c r="H24" s="20"/>
      <c r="I24" s="71">
        <v>8109023</v>
      </c>
      <c r="J24" s="71">
        <v>9556717</v>
      </c>
    </row>
    <row r="25" spans="1:10" s="2" customFormat="1" ht="13.5" customHeight="1">
      <c r="A25" s="383" t="s">
        <v>260</v>
      </c>
      <c r="B25" s="383"/>
      <c r="C25" s="383"/>
      <c r="D25" s="383"/>
      <c r="E25" s="383"/>
      <c r="F25" s="383"/>
      <c r="G25" s="19">
        <v>142</v>
      </c>
      <c r="H25" s="20" t="s">
        <v>2991</v>
      </c>
      <c r="I25" s="71">
        <v>6598714</v>
      </c>
      <c r="J25" s="71">
        <v>6232324</v>
      </c>
    </row>
    <row r="26" spans="1:12" s="2" customFormat="1" ht="13.5" customHeight="1">
      <c r="A26" s="383" t="s">
        <v>1840</v>
      </c>
      <c r="B26" s="383"/>
      <c r="C26" s="383"/>
      <c r="D26" s="383"/>
      <c r="E26" s="383"/>
      <c r="F26" s="383"/>
      <c r="G26" s="19">
        <v>143</v>
      </c>
      <c r="H26" s="20" t="s">
        <v>2992</v>
      </c>
      <c r="I26" s="70">
        <f>SUM(I27:I28)</f>
        <v>1866449</v>
      </c>
      <c r="J26" s="70">
        <f>SUM(J27:J28)</f>
        <v>107142</v>
      </c>
      <c r="L26" s="2" t="s">
        <v>2590</v>
      </c>
    </row>
    <row r="27" spans="1:12" s="2" customFormat="1" ht="13.5" customHeight="1">
      <c r="A27" s="409" t="s">
        <v>506</v>
      </c>
      <c r="B27" s="409"/>
      <c r="C27" s="409"/>
      <c r="D27" s="409"/>
      <c r="E27" s="409"/>
      <c r="F27" s="409"/>
      <c r="G27" s="19">
        <v>144</v>
      </c>
      <c r="H27" s="20"/>
      <c r="I27" s="71">
        <v>1437760</v>
      </c>
      <c r="J27" s="71">
        <v>0</v>
      </c>
      <c r="L27" s="2" t="s">
        <v>2590</v>
      </c>
    </row>
    <row r="28" spans="1:12" s="2" customFormat="1" ht="13.5" customHeight="1">
      <c r="A28" s="409" t="s">
        <v>507</v>
      </c>
      <c r="B28" s="409"/>
      <c r="C28" s="409"/>
      <c r="D28" s="409"/>
      <c r="E28" s="409"/>
      <c r="F28" s="409"/>
      <c r="G28" s="19">
        <v>145</v>
      </c>
      <c r="H28" s="20"/>
      <c r="I28" s="71">
        <v>428689</v>
      </c>
      <c r="J28" s="71">
        <v>107142</v>
      </c>
      <c r="L28" s="2" t="s">
        <v>2590</v>
      </c>
    </row>
    <row r="29" spans="1:12" s="2" customFormat="1" ht="13.5" customHeight="1">
      <c r="A29" s="383" t="s">
        <v>1841</v>
      </c>
      <c r="B29" s="383"/>
      <c r="C29" s="383"/>
      <c r="D29" s="383"/>
      <c r="E29" s="383"/>
      <c r="F29" s="383"/>
      <c r="G29" s="19">
        <v>146</v>
      </c>
      <c r="H29" s="20" t="s">
        <v>2993</v>
      </c>
      <c r="I29" s="70">
        <f>SUM(I30:I35)</f>
        <v>978735</v>
      </c>
      <c r="J29" s="70">
        <f>SUM(J30:J35)</f>
        <v>506377</v>
      </c>
      <c r="L29" s="2" t="s">
        <v>2590</v>
      </c>
    </row>
    <row r="30" spans="1:12" s="2" customFormat="1" ht="13.5" customHeight="1">
      <c r="A30" s="409" t="s">
        <v>508</v>
      </c>
      <c r="B30" s="409"/>
      <c r="C30" s="409"/>
      <c r="D30" s="409"/>
      <c r="E30" s="409"/>
      <c r="F30" s="409"/>
      <c r="G30" s="19">
        <v>147</v>
      </c>
      <c r="H30" s="20"/>
      <c r="I30" s="71">
        <v>14674</v>
      </c>
      <c r="J30" s="71">
        <v>45619</v>
      </c>
      <c r="L30" s="2" t="s">
        <v>2590</v>
      </c>
    </row>
    <row r="31" spans="1:12" s="2" customFormat="1" ht="13.5" customHeight="1">
      <c r="A31" s="409" t="s">
        <v>509</v>
      </c>
      <c r="B31" s="409"/>
      <c r="C31" s="409"/>
      <c r="D31" s="409"/>
      <c r="E31" s="409"/>
      <c r="F31" s="409"/>
      <c r="G31" s="19">
        <v>148</v>
      </c>
      <c r="H31" s="20"/>
      <c r="I31" s="71"/>
      <c r="J31" s="71"/>
      <c r="L31" s="2" t="s">
        <v>2590</v>
      </c>
    </row>
    <row r="32" spans="1:12" s="2" customFormat="1" ht="13.5" customHeight="1">
      <c r="A32" s="409" t="s">
        <v>510</v>
      </c>
      <c r="B32" s="409"/>
      <c r="C32" s="409"/>
      <c r="D32" s="409"/>
      <c r="E32" s="409"/>
      <c r="F32" s="409"/>
      <c r="G32" s="19">
        <v>149</v>
      </c>
      <c r="H32" s="20"/>
      <c r="I32" s="71"/>
      <c r="J32" s="71"/>
      <c r="L32" s="2" t="s">
        <v>2590</v>
      </c>
    </row>
    <row r="33" spans="1:12" s="2" customFormat="1" ht="13.5" customHeight="1">
      <c r="A33" s="409" t="s">
        <v>511</v>
      </c>
      <c r="B33" s="409"/>
      <c r="C33" s="409"/>
      <c r="D33" s="409"/>
      <c r="E33" s="409"/>
      <c r="F33" s="409"/>
      <c r="G33" s="19">
        <v>150</v>
      </c>
      <c r="H33" s="20"/>
      <c r="I33" s="71"/>
      <c r="J33" s="71"/>
      <c r="L33" s="2" t="s">
        <v>2590</v>
      </c>
    </row>
    <row r="34" spans="1:12" s="2" customFormat="1" ht="13.5" customHeight="1">
      <c r="A34" s="409" t="s">
        <v>512</v>
      </c>
      <c r="B34" s="409"/>
      <c r="C34" s="409"/>
      <c r="D34" s="409"/>
      <c r="E34" s="409"/>
      <c r="F34" s="409"/>
      <c r="G34" s="19">
        <v>151</v>
      </c>
      <c r="H34" s="20"/>
      <c r="I34" s="71"/>
      <c r="J34" s="71"/>
      <c r="L34" s="2" t="s">
        <v>2590</v>
      </c>
    </row>
    <row r="35" spans="1:12" s="2" customFormat="1" ht="13.5" customHeight="1">
      <c r="A35" s="409" t="s">
        <v>513</v>
      </c>
      <c r="B35" s="409"/>
      <c r="C35" s="409"/>
      <c r="D35" s="409"/>
      <c r="E35" s="409"/>
      <c r="F35" s="409"/>
      <c r="G35" s="19">
        <v>152</v>
      </c>
      <c r="H35" s="20"/>
      <c r="I35" s="71">
        <v>964061</v>
      </c>
      <c r="J35" s="71">
        <v>460758</v>
      </c>
      <c r="L35" s="2" t="s">
        <v>2590</v>
      </c>
    </row>
    <row r="36" spans="1:10" s="2" customFormat="1" ht="13.5" customHeight="1">
      <c r="A36" s="383" t="s">
        <v>1692</v>
      </c>
      <c r="B36" s="383"/>
      <c r="C36" s="383"/>
      <c r="D36" s="383"/>
      <c r="E36" s="383"/>
      <c r="F36" s="383"/>
      <c r="G36" s="19">
        <v>153</v>
      </c>
      <c r="H36" s="20" t="s">
        <v>2991</v>
      </c>
      <c r="I36" s="71">
        <v>1831498</v>
      </c>
      <c r="J36" s="71">
        <v>293199</v>
      </c>
    </row>
    <row r="37" spans="1:10" s="2" customFormat="1" ht="13.5" customHeight="1">
      <c r="A37" s="381" t="s">
        <v>1842</v>
      </c>
      <c r="B37" s="381"/>
      <c r="C37" s="381"/>
      <c r="D37" s="381"/>
      <c r="E37" s="381"/>
      <c r="F37" s="381"/>
      <c r="G37" s="19">
        <v>154</v>
      </c>
      <c r="H37" s="20" t="s">
        <v>2994</v>
      </c>
      <c r="I37" s="70">
        <f>SUM(I38:I47)</f>
        <v>510530</v>
      </c>
      <c r="J37" s="70">
        <f>SUM(J38:J47)</f>
        <v>1387571</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35990</v>
      </c>
      <c r="J44" s="71">
        <v>35579</v>
      </c>
    </row>
    <row r="45" spans="1:10" s="2" customFormat="1" ht="13.5" customHeight="1">
      <c r="A45" s="383" t="s">
        <v>1428</v>
      </c>
      <c r="B45" s="383"/>
      <c r="C45" s="383"/>
      <c r="D45" s="383"/>
      <c r="E45" s="383"/>
      <c r="F45" s="383"/>
      <c r="G45" s="19">
        <v>162</v>
      </c>
      <c r="H45" s="20"/>
      <c r="I45" s="71">
        <v>380196</v>
      </c>
      <c r="J45" s="71">
        <v>1270576</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94344</v>
      </c>
      <c r="J47" s="71">
        <v>81416</v>
      </c>
    </row>
    <row r="48" spans="1:10" s="2" customFormat="1" ht="13.5" customHeight="1">
      <c r="A48" s="381" t="s">
        <v>1843</v>
      </c>
      <c r="B48" s="381"/>
      <c r="C48" s="381"/>
      <c r="D48" s="381"/>
      <c r="E48" s="381"/>
      <c r="F48" s="381"/>
      <c r="G48" s="19">
        <v>165</v>
      </c>
      <c r="H48" s="20" t="s">
        <v>2994</v>
      </c>
      <c r="I48" s="70">
        <f>SUM(I49:I55)</f>
        <v>1437407</v>
      </c>
      <c r="J48" s="70">
        <f>SUM(J49:J55)</f>
        <v>4085166</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989990</v>
      </c>
      <c r="J51" s="71">
        <v>2740258</v>
      </c>
    </row>
    <row r="52" spans="1:10" s="2" customFormat="1" ht="13.5" customHeight="1">
      <c r="A52" s="403" t="s">
        <v>1439</v>
      </c>
      <c r="B52" s="403"/>
      <c r="C52" s="403"/>
      <c r="D52" s="403"/>
      <c r="E52" s="403"/>
      <c r="F52" s="403"/>
      <c r="G52" s="19">
        <v>169</v>
      </c>
      <c r="H52" s="20"/>
      <c r="I52" s="71">
        <v>447417</v>
      </c>
      <c r="J52" s="71">
        <v>1344908</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2590</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84094772</v>
      </c>
      <c r="J60" s="70">
        <f>J8+J37+J56+J57</f>
        <v>85078648</v>
      </c>
    </row>
    <row r="61" spans="1:10" s="2" customFormat="1" ht="13.5" customHeight="1">
      <c r="A61" s="381" t="s">
        <v>1845</v>
      </c>
      <c r="B61" s="381"/>
      <c r="C61" s="381"/>
      <c r="D61" s="381"/>
      <c r="E61" s="381"/>
      <c r="F61" s="381"/>
      <c r="G61" s="19">
        <v>178</v>
      </c>
      <c r="H61" s="20"/>
      <c r="I61" s="70">
        <f>I14+I48+I58+I59</f>
        <v>79246690</v>
      </c>
      <c r="J61" s="70">
        <f>J14+J48+J58+J59</f>
        <v>89309298</v>
      </c>
    </row>
    <row r="62" spans="1:12" s="2" customFormat="1" ht="13.5" customHeight="1">
      <c r="A62" s="381" t="s">
        <v>2580</v>
      </c>
      <c r="B62" s="381"/>
      <c r="C62" s="381"/>
      <c r="D62" s="381"/>
      <c r="E62" s="381"/>
      <c r="F62" s="381"/>
      <c r="G62" s="19">
        <v>179</v>
      </c>
      <c r="H62" s="20"/>
      <c r="I62" s="70">
        <f>I60-I61</f>
        <v>4848082</v>
      </c>
      <c r="J62" s="70">
        <f>J60-J61</f>
        <v>-4230650</v>
      </c>
      <c r="L62" s="2" t="s">
        <v>2590</v>
      </c>
    </row>
    <row r="63" spans="1:10" s="2" customFormat="1" ht="13.5" customHeight="1">
      <c r="A63" s="403" t="s">
        <v>2657</v>
      </c>
      <c r="B63" s="403"/>
      <c r="C63" s="403"/>
      <c r="D63" s="403"/>
      <c r="E63" s="403"/>
      <c r="F63" s="403"/>
      <c r="G63" s="19">
        <v>180</v>
      </c>
      <c r="H63" s="20"/>
      <c r="I63" s="70">
        <f>IF(I60&gt;I61,I60-I61,0)</f>
        <v>4848082</v>
      </c>
      <c r="J63" s="70">
        <f>IF(J60&gt;J61,J60-J61,0)</f>
        <v>0</v>
      </c>
    </row>
    <row r="64" spans="1:10" s="2" customFormat="1" ht="13.5" customHeight="1">
      <c r="A64" s="403" t="s">
        <v>778</v>
      </c>
      <c r="B64" s="403"/>
      <c r="C64" s="403"/>
      <c r="D64" s="403"/>
      <c r="E64" s="403"/>
      <c r="F64" s="403"/>
      <c r="G64" s="19">
        <v>181</v>
      </c>
      <c r="H64" s="20"/>
      <c r="I64" s="70">
        <f>IF(I61&gt;I60,I61-I60,0)</f>
        <v>0</v>
      </c>
      <c r="J64" s="70">
        <f>IF(J61&gt;J60,J61-J60,0)</f>
        <v>4230650</v>
      </c>
    </row>
    <row r="65" spans="1:12" s="2" customFormat="1" ht="13.5" customHeight="1">
      <c r="A65" s="381" t="s">
        <v>2619</v>
      </c>
      <c r="B65" s="381"/>
      <c r="C65" s="381"/>
      <c r="D65" s="381"/>
      <c r="E65" s="381"/>
      <c r="F65" s="381"/>
      <c r="G65" s="19">
        <v>182</v>
      </c>
      <c r="H65" s="20" t="s">
        <v>2985</v>
      </c>
      <c r="I65" s="71">
        <v>1013464</v>
      </c>
      <c r="J65" s="71"/>
      <c r="L65" s="2" t="s">
        <v>2590</v>
      </c>
    </row>
    <row r="66" spans="1:12" s="2" customFormat="1" ht="13.5" customHeight="1">
      <c r="A66" s="381" t="s">
        <v>2581</v>
      </c>
      <c r="B66" s="381"/>
      <c r="C66" s="381"/>
      <c r="D66" s="381"/>
      <c r="E66" s="381"/>
      <c r="F66" s="381"/>
      <c r="G66" s="19">
        <v>183</v>
      </c>
      <c r="H66" s="20"/>
      <c r="I66" s="70">
        <f>I62-I65</f>
        <v>3834618</v>
      </c>
      <c r="J66" s="70">
        <f>J62-J65</f>
        <v>-4230650</v>
      </c>
      <c r="L66" s="2" t="s">
        <v>2590</v>
      </c>
    </row>
    <row r="67" spans="1:10" s="2" customFormat="1" ht="13.5" customHeight="1">
      <c r="A67" s="403" t="s">
        <v>779</v>
      </c>
      <c r="B67" s="403"/>
      <c r="C67" s="403"/>
      <c r="D67" s="403"/>
      <c r="E67" s="403"/>
      <c r="F67" s="403"/>
      <c r="G67" s="19">
        <v>184</v>
      </c>
      <c r="H67" s="20"/>
      <c r="I67" s="70">
        <f>IF(I66&gt;0,I66,0)</f>
        <v>3834618</v>
      </c>
      <c r="J67" s="70">
        <f>IF(J66&gt;0,J66,0)</f>
        <v>0</v>
      </c>
    </row>
    <row r="68" spans="1:10" s="2" customFormat="1" ht="13.5" customHeight="1">
      <c r="A68" s="404" t="s">
        <v>1472</v>
      </c>
      <c r="B68" s="404"/>
      <c r="C68" s="404"/>
      <c r="D68" s="404"/>
      <c r="E68" s="404"/>
      <c r="F68" s="404"/>
      <c r="G68" s="21">
        <v>185</v>
      </c>
      <c r="H68" s="22"/>
      <c r="I68" s="85">
        <f>IF(I66&lt;0,-I66,0)</f>
        <v>0</v>
      </c>
      <c r="J68" s="85">
        <f>IF(J66&lt;0,-J66,0)</f>
        <v>4230650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2590</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2590</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2590</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2590</v>
      </c>
    </row>
    <row r="81" spans="1:12" s="2" customFormat="1" ht="13.5" customHeight="1">
      <c r="A81" s="381" t="s">
        <v>2009</v>
      </c>
      <c r="B81" s="381"/>
      <c r="C81" s="381"/>
      <c r="D81" s="381"/>
      <c r="E81" s="381"/>
      <c r="F81" s="381"/>
      <c r="G81" s="19">
        <v>196</v>
      </c>
      <c r="H81" s="20"/>
      <c r="I81" s="70">
        <f>I82-I83</f>
        <v>0</v>
      </c>
      <c r="J81" s="70">
        <f>J82-J83</f>
        <v>0</v>
      </c>
      <c r="L81" s="2" t="s">
        <v>2590</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2851</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2590</v>
      </c>
    </row>
    <row r="86" spans="1:12" s="2" customFormat="1" ht="13.5" customHeight="1">
      <c r="A86" s="419" t="s">
        <v>2061</v>
      </c>
      <c r="B86" s="419"/>
      <c r="C86" s="419"/>
      <c r="D86" s="419"/>
      <c r="E86" s="419"/>
      <c r="F86" s="419"/>
      <c r="G86" s="19">
        <v>200</v>
      </c>
      <c r="H86" s="20"/>
      <c r="I86" s="77"/>
      <c r="J86" s="77"/>
      <c r="L86" s="2" t="s">
        <v>2590</v>
      </c>
    </row>
    <row r="87" spans="1:12" s="2" customFormat="1" ht="13.5" customHeight="1">
      <c r="A87" s="420" t="s">
        <v>1102</v>
      </c>
      <c r="B87" s="420"/>
      <c r="C87" s="420"/>
      <c r="D87" s="420"/>
      <c r="E87" s="420"/>
      <c r="F87" s="420"/>
      <c r="G87" s="21">
        <v>201</v>
      </c>
      <c r="H87" s="22"/>
      <c r="I87" s="78"/>
      <c r="J87" s="78"/>
      <c r="L87" s="2" t="s">
        <v>2590</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v>3834618</v>
      </c>
      <c r="J89" s="77">
        <v>-4230650</v>
      </c>
      <c r="L89" s="2" t="s">
        <v>2590</v>
      </c>
    </row>
    <row r="90" spans="1:12" s="2" customFormat="1" ht="25.5" customHeight="1">
      <c r="A90" s="406" t="s">
        <v>1473</v>
      </c>
      <c r="B90" s="406"/>
      <c r="C90" s="406"/>
      <c r="D90" s="406"/>
      <c r="E90" s="406"/>
      <c r="F90" s="406"/>
      <c r="G90" s="19">
        <v>203</v>
      </c>
      <c r="H90" s="20"/>
      <c r="I90" s="86">
        <f>SUM(I91:I98)</f>
        <v>0</v>
      </c>
      <c r="J90" s="86">
        <f>SUM(J91:J98)</f>
        <v>0</v>
      </c>
      <c r="L90" s="2" t="s">
        <v>2590</v>
      </c>
    </row>
    <row r="91" spans="1:12" s="2" customFormat="1" ht="13.5" customHeight="1">
      <c r="A91" s="403" t="s">
        <v>2062</v>
      </c>
      <c r="B91" s="403"/>
      <c r="C91" s="403"/>
      <c r="D91" s="403"/>
      <c r="E91" s="403"/>
      <c r="F91" s="403"/>
      <c r="G91" s="19">
        <v>204</v>
      </c>
      <c r="H91" s="20"/>
      <c r="I91" s="77"/>
      <c r="J91" s="77"/>
      <c r="L91" s="2" t="s">
        <v>2590</v>
      </c>
    </row>
    <row r="92" spans="1:12" s="2" customFormat="1" ht="25.5" customHeight="1">
      <c r="A92" s="403" t="s">
        <v>2063</v>
      </c>
      <c r="B92" s="403"/>
      <c r="C92" s="403"/>
      <c r="D92" s="403"/>
      <c r="E92" s="403"/>
      <c r="F92" s="403"/>
      <c r="G92" s="19">
        <v>205</v>
      </c>
      <c r="H92" s="20"/>
      <c r="I92" s="77"/>
      <c r="J92" s="77"/>
      <c r="L92" s="2" t="s">
        <v>2590</v>
      </c>
    </row>
    <row r="93" spans="1:12" s="2" customFormat="1" ht="26.25" customHeight="1">
      <c r="A93" s="403" t="s">
        <v>2064</v>
      </c>
      <c r="B93" s="403"/>
      <c r="C93" s="403"/>
      <c r="D93" s="403"/>
      <c r="E93" s="403"/>
      <c r="F93" s="403"/>
      <c r="G93" s="19">
        <v>206</v>
      </c>
      <c r="H93" s="20"/>
      <c r="I93" s="77"/>
      <c r="J93" s="77"/>
      <c r="L93" s="2" t="s">
        <v>2590</v>
      </c>
    </row>
    <row r="94" spans="1:12" s="2" customFormat="1" ht="13.5" customHeight="1">
      <c r="A94" s="403" t="s">
        <v>2065</v>
      </c>
      <c r="B94" s="403"/>
      <c r="C94" s="403"/>
      <c r="D94" s="403"/>
      <c r="E94" s="403"/>
      <c r="F94" s="403"/>
      <c r="G94" s="19">
        <v>207</v>
      </c>
      <c r="H94" s="20"/>
      <c r="I94" s="77"/>
      <c r="J94" s="77"/>
      <c r="L94" s="2" t="s">
        <v>2590</v>
      </c>
    </row>
    <row r="95" spans="1:12" s="2" customFormat="1" ht="13.5" customHeight="1">
      <c r="A95" s="403" t="s">
        <v>2066</v>
      </c>
      <c r="B95" s="403"/>
      <c r="C95" s="403"/>
      <c r="D95" s="403"/>
      <c r="E95" s="403"/>
      <c r="F95" s="403"/>
      <c r="G95" s="19">
        <v>208</v>
      </c>
      <c r="H95" s="20"/>
      <c r="I95" s="77"/>
      <c r="J95" s="77"/>
      <c r="L95" s="2" t="s">
        <v>2590</v>
      </c>
    </row>
    <row r="96" spans="1:12" s="2" customFormat="1" ht="25.5" customHeight="1">
      <c r="A96" s="403" t="s">
        <v>2067</v>
      </c>
      <c r="B96" s="403"/>
      <c r="C96" s="403"/>
      <c r="D96" s="403"/>
      <c r="E96" s="403"/>
      <c r="F96" s="403"/>
      <c r="G96" s="19">
        <v>209</v>
      </c>
      <c r="H96" s="20"/>
      <c r="I96" s="77"/>
      <c r="J96" s="77"/>
      <c r="L96" s="2" t="s">
        <v>2590</v>
      </c>
    </row>
    <row r="97" spans="1:12" s="2" customFormat="1" ht="13.5" customHeight="1">
      <c r="A97" s="403" t="s">
        <v>759</v>
      </c>
      <c r="B97" s="403"/>
      <c r="C97" s="403"/>
      <c r="D97" s="403"/>
      <c r="E97" s="403"/>
      <c r="F97" s="403"/>
      <c r="G97" s="19">
        <v>210</v>
      </c>
      <c r="H97" s="20"/>
      <c r="I97" s="77"/>
      <c r="J97" s="77"/>
      <c r="L97" s="2" t="s">
        <v>2590</v>
      </c>
    </row>
    <row r="98" spans="1:12" s="2" customFormat="1" ht="13.5" customHeight="1">
      <c r="A98" s="403" t="s">
        <v>1449</v>
      </c>
      <c r="B98" s="403"/>
      <c r="C98" s="403"/>
      <c r="D98" s="403"/>
      <c r="E98" s="403"/>
      <c r="F98" s="403"/>
      <c r="G98" s="19">
        <v>211</v>
      </c>
      <c r="H98" s="20"/>
      <c r="I98" s="77"/>
      <c r="J98" s="77"/>
      <c r="L98" s="2" t="s">
        <v>2590</v>
      </c>
    </row>
    <row r="99" spans="1:12" s="2" customFormat="1" ht="13.5" customHeight="1">
      <c r="A99" s="406" t="s">
        <v>2620</v>
      </c>
      <c r="B99" s="406"/>
      <c r="C99" s="406"/>
      <c r="D99" s="406"/>
      <c r="E99" s="406"/>
      <c r="F99" s="406"/>
      <c r="G99" s="19">
        <v>212</v>
      </c>
      <c r="H99" s="20"/>
      <c r="I99" s="77"/>
      <c r="J99" s="77"/>
      <c r="L99" s="2" t="s">
        <v>2590</v>
      </c>
    </row>
    <row r="100" spans="1:12" s="2" customFormat="1" ht="15" customHeight="1">
      <c r="A100" s="406" t="s">
        <v>1474</v>
      </c>
      <c r="B100" s="406"/>
      <c r="C100" s="406"/>
      <c r="D100" s="406"/>
      <c r="E100" s="406"/>
      <c r="F100" s="406"/>
      <c r="G100" s="19">
        <v>213</v>
      </c>
      <c r="H100" s="20"/>
      <c r="I100" s="86">
        <f>I90-I99</f>
        <v>0</v>
      </c>
      <c r="J100" s="86">
        <f>J90-J99</f>
        <v>0</v>
      </c>
      <c r="L100" s="2" t="s">
        <v>2590</v>
      </c>
    </row>
    <row r="101" spans="1:12" s="2" customFormat="1" ht="13.5" customHeight="1">
      <c r="A101" s="421" t="s">
        <v>1475</v>
      </c>
      <c r="B101" s="421"/>
      <c r="C101" s="421"/>
      <c r="D101" s="421"/>
      <c r="E101" s="421"/>
      <c r="F101" s="421"/>
      <c r="G101" s="21">
        <v>214</v>
      </c>
      <c r="H101" s="22"/>
      <c r="I101" s="87">
        <f>I89+I100</f>
        <v>3834618</v>
      </c>
      <c r="J101" s="87">
        <f>J89+J100</f>
        <v>-4230650</v>
      </c>
      <c r="L101" s="2" t="s">
        <v>2590</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2590</v>
      </c>
    </row>
    <row r="104" spans="1:12" s="2" customFormat="1" ht="13.5" customHeight="1">
      <c r="A104" s="419" t="s">
        <v>2621</v>
      </c>
      <c r="B104" s="419"/>
      <c r="C104" s="419"/>
      <c r="D104" s="419"/>
      <c r="E104" s="419"/>
      <c r="F104" s="419"/>
      <c r="G104" s="19">
        <v>216</v>
      </c>
      <c r="H104" s="20"/>
      <c r="I104" s="77"/>
      <c r="J104" s="77"/>
      <c r="L104" s="2" t="s">
        <v>2590</v>
      </c>
    </row>
    <row r="105" spans="1:12" s="2" customFormat="1" ht="13.5" customHeight="1">
      <c r="A105" s="420" t="s">
        <v>1450</v>
      </c>
      <c r="B105" s="420"/>
      <c r="C105" s="420"/>
      <c r="D105" s="420"/>
      <c r="E105" s="420"/>
      <c r="F105" s="420"/>
      <c r="G105" s="21">
        <v>217</v>
      </c>
      <c r="H105" s="22"/>
      <c r="I105" s="78"/>
      <c r="J105" s="78"/>
      <c r="L105" s="2" t="s">
        <v>2590</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 activePane="bottomLeft" state="frozen"/>
      <selection pane="topLeft" activeCell="A1" sqref="A1"/>
      <selection pane="bottomLeft" activeCell="J88" sqref="J8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32" t="s">
        <v>568</v>
      </c>
      <c r="B2" s="433"/>
      <c r="C2" s="433"/>
      <c r="D2" s="433"/>
      <c r="E2" s="433"/>
      <c r="F2" s="433"/>
      <c r="G2" s="433"/>
      <c r="H2" s="433"/>
      <c r="I2" s="434"/>
      <c r="J2" s="388" t="s">
        <v>2592</v>
      </c>
      <c r="Q2" s="74">
        <f>IF(MAX(I9:I88)&gt;0,1,0)</f>
        <v>0</v>
      </c>
      <c r="R2" s="73" t="s">
        <v>2585</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0</v>
      </c>
      <c r="R3" s="73" t="s">
        <v>2586</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56994999963; JADRAN D.D.</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1.25">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2899</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2900</v>
      </c>
      <c r="B25" s="441"/>
      <c r="C25" s="441"/>
      <c r="D25" s="441"/>
      <c r="E25" s="441"/>
      <c r="F25" s="441"/>
      <c r="G25" s="442"/>
      <c r="H25" s="92">
        <v>231</v>
      </c>
      <c r="I25" s="94"/>
      <c r="J25" s="94"/>
    </row>
    <row r="26" spans="1:10" s="2" customFormat="1" ht="24.75" customHeight="1">
      <c r="A26" s="403" t="s">
        <v>2214</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2215</v>
      </c>
      <c r="B33" s="403"/>
      <c r="C33" s="403"/>
      <c r="D33" s="403"/>
      <c r="E33" s="403"/>
      <c r="F33" s="403"/>
      <c r="G33" s="443"/>
      <c r="H33" s="19">
        <v>239</v>
      </c>
      <c r="I33" s="77"/>
      <c r="J33" s="77"/>
    </row>
    <row r="34" spans="1:10" s="2" customFormat="1" ht="36" customHeight="1">
      <c r="A34" s="403" t="s">
        <v>2216</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2901</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2217</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2218</v>
      </c>
      <c r="B51" s="403"/>
      <c r="C51" s="403"/>
      <c r="D51" s="403"/>
      <c r="E51" s="403"/>
      <c r="F51" s="403"/>
      <c r="G51" s="443"/>
      <c r="H51" s="19">
        <v>253</v>
      </c>
      <c r="I51" s="77"/>
      <c r="J51" s="77"/>
    </row>
    <row r="52" spans="1:10" s="2" customFormat="1" ht="24.75" customHeight="1">
      <c r="A52" s="403" t="s">
        <v>2442</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2433</v>
      </c>
      <c r="B55" s="403"/>
      <c r="C55" s="403"/>
      <c r="D55" s="403"/>
      <c r="E55" s="403"/>
      <c r="F55" s="403"/>
      <c r="G55" s="443"/>
      <c r="H55" s="19">
        <v>257</v>
      </c>
      <c r="I55" s="77"/>
      <c r="J55" s="77"/>
    </row>
    <row r="56" spans="1:10" s="2" customFormat="1" ht="13.5" customHeight="1">
      <c r="A56" s="403" t="s">
        <v>2434</v>
      </c>
      <c r="B56" s="403"/>
      <c r="C56" s="403"/>
      <c r="D56" s="403"/>
      <c r="E56" s="403"/>
      <c r="F56" s="403"/>
      <c r="G56" s="443"/>
      <c r="H56" s="19">
        <v>258</v>
      </c>
      <c r="I56" s="77"/>
      <c r="J56" s="77"/>
    </row>
    <row r="57" spans="1:10" s="2" customFormat="1" ht="25.5" customHeight="1">
      <c r="A57" s="403" t="s">
        <v>2443</v>
      </c>
      <c r="B57" s="403"/>
      <c r="C57" s="403"/>
      <c r="D57" s="403"/>
      <c r="E57" s="403"/>
      <c r="F57" s="403"/>
      <c r="G57" s="443"/>
      <c r="H57" s="19">
        <v>259</v>
      </c>
      <c r="I57" s="77"/>
      <c r="J57" s="77"/>
    </row>
    <row r="58" spans="1:10" s="2" customFormat="1" ht="13.5" customHeight="1">
      <c r="A58" s="403" t="s">
        <v>2435</v>
      </c>
      <c r="B58" s="403"/>
      <c r="C58" s="403"/>
      <c r="D58" s="403"/>
      <c r="E58" s="403"/>
      <c r="F58" s="403"/>
      <c r="G58" s="443"/>
      <c r="H58" s="19">
        <v>260</v>
      </c>
      <c r="I58" s="77"/>
      <c r="J58" s="77"/>
    </row>
    <row r="59" spans="1:10" s="2" customFormat="1" ht="13.5" customHeight="1">
      <c r="A59" s="403" t="s">
        <v>2436</v>
      </c>
      <c r="B59" s="403"/>
      <c r="C59" s="403"/>
      <c r="D59" s="403"/>
      <c r="E59" s="403"/>
      <c r="F59" s="403"/>
      <c r="G59" s="443"/>
      <c r="H59" s="19">
        <v>261</v>
      </c>
      <c r="I59" s="77"/>
      <c r="J59" s="77"/>
    </row>
    <row r="60" spans="1:10" s="2" customFormat="1" ht="13.5" customHeight="1">
      <c r="A60" s="403" t="s">
        <v>2437</v>
      </c>
      <c r="B60" s="403"/>
      <c r="C60" s="403"/>
      <c r="D60" s="403"/>
      <c r="E60" s="403"/>
      <c r="F60" s="403"/>
      <c r="G60" s="443"/>
      <c r="H60" s="19">
        <v>262</v>
      </c>
      <c r="I60" s="77"/>
      <c r="J60" s="77"/>
    </row>
    <row r="61" spans="1:10" s="2" customFormat="1" ht="13.5" customHeight="1">
      <c r="A61" s="444" t="s">
        <v>2444</v>
      </c>
      <c r="B61" s="444"/>
      <c r="C61" s="444"/>
      <c r="D61" s="444"/>
      <c r="E61" s="444"/>
      <c r="F61" s="444"/>
      <c r="G61" s="445"/>
      <c r="H61" s="19">
        <v>263</v>
      </c>
      <c r="I61" s="77"/>
      <c r="J61" s="77"/>
    </row>
    <row r="62" spans="1:10" s="2" customFormat="1" ht="13.5" customHeight="1">
      <c r="A62" s="403" t="s">
        <v>2438</v>
      </c>
      <c r="B62" s="403"/>
      <c r="C62" s="403"/>
      <c r="D62" s="403"/>
      <c r="E62" s="403"/>
      <c r="F62" s="403"/>
      <c r="G62" s="443"/>
      <c r="H62" s="19">
        <v>264</v>
      </c>
      <c r="I62" s="77"/>
      <c r="J62" s="77"/>
    </row>
    <row r="63" spans="1:10" s="2" customFormat="1" ht="13.5" customHeight="1">
      <c r="A63" s="403" t="s">
        <v>2439</v>
      </c>
      <c r="B63" s="403"/>
      <c r="C63" s="403"/>
      <c r="D63" s="403"/>
      <c r="E63" s="403"/>
      <c r="F63" s="403"/>
      <c r="G63" s="443"/>
      <c r="H63" s="19">
        <v>265</v>
      </c>
      <c r="I63" s="77"/>
      <c r="J63" s="77"/>
    </row>
    <row r="64" spans="1:10" s="2" customFormat="1" ht="13.5" customHeight="1">
      <c r="A64" s="403" t="s">
        <v>2440</v>
      </c>
      <c r="B64" s="403"/>
      <c r="C64" s="403"/>
      <c r="D64" s="403"/>
      <c r="E64" s="403"/>
      <c r="F64" s="403"/>
      <c r="G64" s="443"/>
      <c r="H64" s="19">
        <v>266</v>
      </c>
      <c r="I64" s="77"/>
      <c r="J64" s="77"/>
    </row>
    <row r="65" spans="1:10" s="2" customFormat="1" ht="13.5" customHeight="1">
      <c r="A65" s="403" t="s">
        <v>2441</v>
      </c>
      <c r="B65" s="403"/>
      <c r="C65" s="403"/>
      <c r="D65" s="403"/>
      <c r="E65" s="403"/>
      <c r="F65" s="403"/>
      <c r="G65" s="443"/>
      <c r="H65" s="19">
        <v>267</v>
      </c>
      <c r="I65" s="77"/>
      <c r="J65" s="77"/>
    </row>
    <row r="66" spans="1:10" s="2" customFormat="1" ht="13.5" customHeight="1">
      <c r="A66" s="444" t="s">
        <v>2902</v>
      </c>
      <c r="B66" s="444"/>
      <c r="C66" s="444"/>
      <c r="D66" s="444"/>
      <c r="E66" s="444"/>
      <c r="F66" s="444"/>
      <c r="G66" s="445"/>
      <c r="H66" s="19">
        <v>268</v>
      </c>
      <c r="I66" s="77"/>
      <c r="J66" s="77"/>
    </row>
    <row r="67" spans="1:10" s="2" customFormat="1" ht="24.75" customHeight="1">
      <c r="A67" s="403" t="s">
        <v>2219</v>
      </c>
      <c r="B67" s="403"/>
      <c r="C67" s="403"/>
      <c r="D67" s="403"/>
      <c r="E67" s="403"/>
      <c r="F67" s="403"/>
      <c r="G67" s="443"/>
      <c r="H67" s="19">
        <v>269</v>
      </c>
      <c r="I67" s="77"/>
      <c r="J67" s="77"/>
    </row>
    <row r="68" spans="1:10" s="2" customFormat="1" ht="13.5" customHeight="1">
      <c r="A68" s="403" t="s">
        <v>2447</v>
      </c>
      <c r="B68" s="403"/>
      <c r="C68" s="403"/>
      <c r="D68" s="403"/>
      <c r="E68" s="403"/>
      <c r="F68" s="403"/>
      <c r="G68" s="443"/>
      <c r="H68" s="19">
        <v>270</v>
      </c>
      <c r="I68" s="77"/>
      <c r="J68" s="77"/>
    </row>
    <row r="69" spans="1:10" s="2" customFormat="1" ht="13.5" customHeight="1">
      <c r="A69" s="403" t="s">
        <v>2446</v>
      </c>
      <c r="B69" s="403"/>
      <c r="C69" s="403"/>
      <c r="D69" s="403"/>
      <c r="E69" s="403"/>
      <c r="F69" s="403"/>
      <c r="G69" s="443"/>
      <c r="H69" s="19">
        <v>271</v>
      </c>
      <c r="I69" s="77"/>
      <c r="J69" s="77"/>
    </row>
    <row r="70" spans="1:10" s="2" customFormat="1" ht="24.75" customHeight="1">
      <c r="A70" s="403" t="s">
        <v>2445</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2220</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38" activePane="bottomLeft" state="frozen"/>
      <selection pane="topLeft" activeCell="A1" sqref="A1"/>
      <selection pane="bottomLeft" activeCell="J60" sqref="J60"/>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1</v>
      </c>
      <c r="R1" s="73" t="s">
        <v>539</v>
      </c>
    </row>
    <row r="2" spans="1:18" s="2" customFormat="1" ht="19.5" customHeight="1">
      <c r="A2" s="432" t="s">
        <v>1454</v>
      </c>
      <c r="B2" s="433"/>
      <c r="C2" s="433"/>
      <c r="D2" s="433"/>
      <c r="E2" s="433"/>
      <c r="F2" s="433"/>
      <c r="G2" s="433"/>
      <c r="H2" s="433"/>
      <c r="I2" s="454"/>
      <c r="J2" s="388" t="s">
        <v>2593</v>
      </c>
      <c r="Q2" s="74">
        <f>IF(OR(MIN(I8:I60)&lt;0,MAX(I8:I60)&gt;0),1,0)</f>
        <v>1</v>
      </c>
      <c r="R2" s="73" t="s">
        <v>2585</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1</v>
      </c>
      <c r="R3" s="73" t="s">
        <v>2586</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56994999963; JADRAN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v>4848082</v>
      </c>
      <c r="J9" s="142">
        <v>-4230650</v>
      </c>
    </row>
    <row r="10" spans="1:10" s="2" customFormat="1" ht="13.5" customHeight="1">
      <c r="A10" s="403" t="s">
        <v>238</v>
      </c>
      <c r="B10" s="403"/>
      <c r="C10" s="403"/>
      <c r="D10" s="403"/>
      <c r="E10" s="403"/>
      <c r="F10" s="403"/>
      <c r="G10" s="19">
        <v>2</v>
      </c>
      <c r="H10" s="23"/>
      <c r="I10" s="125">
        <f>SUM(I11:I18)</f>
        <v>2830330</v>
      </c>
      <c r="J10" s="125">
        <f>SUM(J11:J18)</f>
        <v>12276907</v>
      </c>
    </row>
    <row r="11" spans="1:10" s="2" customFormat="1" ht="13.5" customHeight="1">
      <c r="A11" s="444" t="s">
        <v>2334</v>
      </c>
      <c r="B11" s="444"/>
      <c r="C11" s="444"/>
      <c r="D11" s="444"/>
      <c r="E11" s="444"/>
      <c r="F11" s="444"/>
      <c r="G11" s="19">
        <v>3</v>
      </c>
      <c r="H11" s="23"/>
      <c r="I11" s="126">
        <v>8109023</v>
      </c>
      <c r="J11" s="126">
        <v>9556717</v>
      </c>
    </row>
    <row r="12" spans="1:10" s="2" customFormat="1" ht="24.75" customHeight="1">
      <c r="A12" s="444" t="s">
        <v>2909</v>
      </c>
      <c r="B12" s="444"/>
      <c r="C12" s="444"/>
      <c r="D12" s="444"/>
      <c r="E12" s="444"/>
      <c r="F12" s="444"/>
      <c r="G12" s="19">
        <v>4</v>
      </c>
      <c r="H12" s="23"/>
      <c r="I12" s="126">
        <v>-4812487</v>
      </c>
      <c r="J12" s="126">
        <v>-30108</v>
      </c>
    </row>
    <row r="13" spans="1:10" s="2" customFormat="1" ht="24.75" customHeight="1">
      <c r="A13" s="444" t="s">
        <v>2910</v>
      </c>
      <c r="B13" s="444"/>
      <c r="C13" s="444"/>
      <c r="D13" s="444"/>
      <c r="E13" s="444"/>
      <c r="F13" s="444"/>
      <c r="G13" s="19">
        <v>5</v>
      </c>
      <c r="H13" s="23"/>
      <c r="I13" s="126"/>
      <c r="J13" s="126"/>
    </row>
    <row r="14" spans="1:12" s="2" customFormat="1" ht="13.5" customHeight="1">
      <c r="A14" s="444" t="s">
        <v>2335</v>
      </c>
      <c r="B14" s="444"/>
      <c r="C14" s="444"/>
      <c r="D14" s="444"/>
      <c r="E14" s="444"/>
      <c r="F14" s="444"/>
      <c r="G14" s="19">
        <v>6</v>
      </c>
      <c r="H14" s="23"/>
      <c r="I14" s="126">
        <v>-510530</v>
      </c>
      <c r="J14" s="126">
        <v>-35579</v>
      </c>
      <c r="L14" s="73"/>
    </row>
    <row r="15" spans="1:10" s="2" customFormat="1" ht="13.5" customHeight="1">
      <c r="A15" s="444" t="s">
        <v>2336</v>
      </c>
      <c r="B15" s="444"/>
      <c r="C15" s="444"/>
      <c r="D15" s="444"/>
      <c r="E15" s="444"/>
      <c r="F15" s="444"/>
      <c r="G15" s="19">
        <v>7</v>
      </c>
      <c r="H15" s="23"/>
      <c r="I15" s="126">
        <v>989990</v>
      </c>
      <c r="J15" s="126">
        <v>2740258</v>
      </c>
    </row>
    <row r="16" spans="1:10" s="2" customFormat="1" ht="13.5" customHeight="1">
      <c r="A16" s="444" t="s">
        <v>2337</v>
      </c>
      <c r="B16" s="444"/>
      <c r="C16" s="444"/>
      <c r="D16" s="444"/>
      <c r="E16" s="444"/>
      <c r="F16" s="444"/>
      <c r="G16" s="19">
        <v>8</v>
      </c>
      <c r="H16" s="23"/>
      <c r="I16" s="126">
        <v>-945666</v>
      </c>
      <c r="J16" s="126">
        <v>45619</v>
      </c>
    </row>
    <row r="17" spans="1:10" s="2" customFormat="1" ht="13.5" customHeight="1">
      <c r="A17" s="444" t="s">
        <v>2338</v>
      </c>
      <c r="B17" s="444"/>
      <c r="C17" s="444"/>
      <c r="D17" s="444"/>
      <c r="E17" s="444"/>
      <c r="F17" s="444"/>
      <c r="G17" s="19">
        <v>9</v>
      </c>
      <c r="H17" s="23"/>
      <c r="I17" s="126"/>
      <c r="J17" s="126"/>
    </row>
    <row r="18" spans="1:10" s="2" customFormat="1" ht="13.5" customHeight="1">
      <c r="A18" s="444" t="s">
        <v>2908</v>
      </c>
      <c r="B18" s="444"/>
      <c r="C18" s="444"/>
      <c r="D18" s="444"/>
      <c r="E18" s="444"/>
      <c r="F18" s="444"/>
      <c r="G18" s="19">
        <v>10</v>
      </c>
      <c r="H18" s="23"/>
      <c r="I18" s="126"/>
      <c r="J18" s="126"/>
    </row>
    <row r="19" spans="1:14" s="2" customFormat="1" ht="24.75" customHeight="1">
      <c r="A19" s="406" t="s">
        <v>2907</v>
      </c>
      <c r="B19" s="406"/>
      <c r="C19" s="406"/>
      <c r="D19" s="406"/>
      <c r="E19" s="406"/>
      <c r="F19" s="406"/>
      <c r="G19" s="19">
        <v>11</v>
      </c>
      <c r="H19" s="23"/>
      <c r="I19" s="125">
        <f>I9+I10</f>
        <v>7678412</v>
      </c>
      <c r="J19" s="125">
        <f>J9+J10</f>
        <v>8046257</v>
      </c>
      <c r="N19" s="2">
        <f>IF(MIN(NT_I!I11:J11,NT_I!I15:J15,NT_I!I30:J36,NT_I!I59:J60)&lt;0,1,0)</f>
        <v>0</v>
      </c>
    </row>
    <row r="20" spans="1:10" s="2" customFormat="1" ht="13.5" customHeight="1">
      <c r="A20" s="403" t="s">
        <v>461</v>
      </c>
      <c r="B20" s="403"/>
      <c r="C20" s="403"/>
      <c r="D20" s="403"/>
      <c r="E20" s="403"/>
      <c r="F20" s="403"/>
      <c r="G20" s="19">
        <v>12</v>
      </c>
      <c r="H20" s="23"/>
      <c r="I20" s="125">
        <f>SUM(I21:I24)</f>
        <v>-6906710</v>
      </c>
      <c r="J20" s="125">
        <f>SUM(J21:J24)</f>
        <v>987793</v>
      </c>
    </row>
    <row r="21" spans="1:10" s="2" customFormat="1" ht="13.5" customHeight="1">
      <c r="A21" s="444" t="s">
        <v>2052</v>
      </c>
      <c r="B21" s="444"/>
      <c r="C21" s="444"/>
      <c r="D21" s="444"/>
      <c r="E21" s="444"/>
      <c r="F21" s="444"/>
      <c r="G21" s="19">
        <v>13</v>
      </c>
      <c r="H21" s="23"/>
      <c r="I21" s="126">
        <v>10045976</v>
      </c>
      <c r="J21" s="126">
        <f>5594110-2167679</f>
        <v>3426431</v>
      </c>
    </row>
    <row r="22" spans="1:10" s="2" customFormat="1" ht="13.5" customHeight="1">
      <c r="A22" s="444" t="s">
        <v>2053</v>
      </c>
      <c r="B22" s="444"/>
      <c r="C22" s="444"/>
      <c r="D22" s="444"/>
      <c r="E22" s="444"/>
      <c r="F22" s="444"/>
      <c r="G22" s="19">
        <v>14</v>
      </c>
      <c r="H22" s="23"/>
      <c r="I22" s="126">
        <v>-44744</v>
      </c>
      <c r="J22" s="126">
        <f>-2049087+694094</f>
        <v>-1354993</v>
      </c>
    </row>
    <row r="23" spans="1:10" s="2" customFormat="1" ht="13.5" customHeight="1">
      <c r="A23" s="444" t="s">
        <v>2054</v>
      </c>
      <c r="B23" s="444"/>
      <c r="C23" s="444"/>
      <c r="D23" s="444"/>
      <c r="E23" s="444"/>
      <c r="F23" s="444"/>
      <c r="G23" s="19">
        <v>15</v>
      </c>
      <c r="H23" s="23"/>
      <c r="I23" s="126">
        <v>-60265</v>
      </c>
      <c r="J23" s="126">
        <v>-104347</v>
      </c>
    </row>
    <row r="24" spans="1:10" s="2" customFormat="1" ht="13.5" customHeight="1">
      <c r="A24" s="444" t="s">
        <v>2055</v>
      </c>
      <c r="B24" s="444"/>
      <c r="C24" s="444"/>
      <c r="D24" s="444"/>
      <c r="E24" s="444"/>
      <c r="F24" s="444"/>
      <c r="G24" s="19">
        <v>16</v>
      </c>
      <c r="H24" s="23"/>
      <c r="I24" s="126">
        <v>-16847677</v>
      </c>
      <c r="J24" s="126">
        <f>-979298</f>
        <v>-979298</v>
      </c>
    </row>
    <row r="25" spans="1:10" s="2" customFormat="1" ht="13.5" customHeight="1">
      <c r="A25" s="406" t="s">
        <v>2523</v>
      </c>
      <c r="B25" s="406"/>
      <c r="C25" s="406"/>
      <c r="D25" s="406"/>
      <c r="E25" s="406"/>
      <c r="F25" s="406"/>
      <c r="G25" s="19">
        <v>17</v>
      </c>
      <c r="H25" s="23"/>
      <c r="I25" s="125">
        <f>I19+I20</f>
        <v>771702</v>
      </c>
      <c r="J25" s="125">
        <f>J19+J20</f>
        <v>9034050</v>
      </c>
    </row>
    <row r="26" spans="1:10" s="2" customFormat="1" ht="13.5" customHeight="1">
      <c r="A26" s="403" t="s">
        <v>226</v>
      </c>
      <c r="B26" s="403"/>
      <c r="C26" s="403"/>
      <c r="D26" s="403"/>
      <c r="E26" s="403"/>
      <c r="F26" s="403"/>
      <c r="G26" s="19">
        <v>18</v>
      </c>
      <c r="H26" s="23"/>
      <c r="I26" s="126">
        <v>-989990</v>
      </c>
      <c r="J26" s="126">
        <v>-2740258</v>
      </c>
    </row>
    <row r="27" spans="1:10" s="2" customFormat="1" ht="13.5" customHeight="1">
      <c r="A27" s="403" t="s">
        <v>227</v>
      </c>
      <c r="B27" s="403"/>
      <c r="C27" s="403"/>
      <c r="D27" s="403"/>
      <c r="E27" s="403"/>
      <c r="F27" s="403"/>
      <c r="G27" s="19">
        <v>19</v>
      </c>
      <c r="H27" s="23"/>
      <c r="I27" s="126">
        <v>-1013464</v>
      </c>
      <c r="J27" s="126"/>
    </row>
    <row r="28" spans="1:10" s="2" customFormat="1" ht="13.5" customHeight="1">
      <c r="A28" s="449" t="s">
        <v>237</v>
      </c>
      <c r="B28" s="449"/>
      <c r="C28" s="449"/>
      <c r="D28" s="449"/>
      <c r="E28" s="449"/>
      <c r="F28" s="449"/>
      <c r="G28" s="21">
        <v>20</v>
      </c>
      <c r="H28" s="24"/>
      <c r="I28" s="127">
        <f>SUM(I25:I27)</f>
        <v>-1231752</v>
      </c>
      <c r="J28" s="127">
        <f>SUM(J25:J27)</f>
        <v>6293792</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v>510530</v>
      </c>
      <c r="J32" s="77">
        <v>35579</v>
      </c>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v>5776822</v>
      </c>
      <c r="J35" s="77">
        <v>1209246</v>
      </c>
    </row>
    <row r="36" spans="1:10" s="2" customFormat="1" ht="13.5" customHeight="1">
      <c r="A36" s="406" t="s">
        <v>2522</v>
      </c>
      <c r="B36" s="406"/>
      <c r="C36" s="406"/>
      <c r="D36" s="406"/>
      <c r="E36" s="406"/>
      <c r="F36" s="406"/>
      <c r="G36" s="19">
        <v>27</v>
      </c>
      <c r="H36" s="23"/>
      <c r="I36" s="86">
        <f>SUM(I30:I35)</f>
        <v>6287352</v>
      </c>
      <c r="J36" s="86">
        <f>SUM(J30:J35)</f>
        <v>1244825</v>
      </c>
    </row>
    <row r="37" spans="1:10" s="2" customFormat="1" ht="13.5" customHeight="1">
      <c r="A37" s="403" t="s">
        <v>233</v>
      </c>
      <c r="B37" s="403"/>
      <c r="C37" s="403"/>
      <c r="D37" s="403"/>
      <c r="E37" s="403"/>
      <c r="F37" s="403"/>
      <c r="G37" s="19">
        <v>28</v>
      </c>
      <c r="H37" s="23"/>
      <c r="I37" s="77">
        <v>-30084555</v>
      </c>
      <c r="J37" s="77">
        <v>-52440869</v>
      </c>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v>-3116102</v>
      </c>
      <c r="J41" s="77"/>
    </row>
    <row r="42" spans="1:10" s="2" customFormat="1" ht="13.5" customHeight="1">
      <c r="A42" s="406" t="s">
        <v>2425</v>
      </c>
      <c r="B42" s="406"/>
      <c r="C42" s="406"/>
      <c r="D42" s="406"/>
      <c r="E42" s="406"/>
      <c r="F42" s="406"/>
      <c r="G42" s="19">
        <v>33</v>
      </c>
      <c r="H42" s="23"/>
      <c r="I42" s="86">
        <f>SUM(I37:I41)</f>
        <v>-33200657</v>
      </c>
      <c r="J42" s="86">
        <f>SUM(J37:J41)</f>
        <v>-52440869</v>
      </c>
    </row>
    <row r="43" spans="1:10" s="2" customFormat="1" ht="13.5" customHeight="1">
      <c r="A43" s="449" t="s">
        <v>2510</v>
      </c>
      <c r="B43" s="449"/>
      <c r="C43" s="449"/>
      <c r="D43" s="449"/>
      <c r="E43" s="449"/>
      <c r="F43" s="449"/>
      <c r="G43" s="21">
        <v>34</v>
      </c>
      <c r="H43" s="24"/>
      <c r="I43" s="87">
        <f>I36+I42</f>
        <v>-26913305</v>
      </c>
      <c r="J43" s="87">
        <f>J36+J42</f>
        <v>-51196044</v>
      </c>
    </row>
    <row r="44" spans="1:10" s="2" customFormat="1" ht="15" customHeight="1">
      <c r="A44" s="438" t="s">
        <v>2426</v>
      </c>
      <c r="B44" s="439"/>
      <c r="C44" s="439"/>
      <c r="D44" s="439"/>
      <c r="E44" s="439"/>
      <c r="F44" s="439"/>
      <c r="G44" s="439"/>
      <c r="H44" s="439"/>
      <c r="I44" s="439"/>
      <c r="J44" s="440"/>
    </row>
    <row r="45" spans="1:10" s="2" customFormat="1" ht="13.5" customHeight="1">
      <c r="A45" s="441" t="s">
        <v>2429</v>
      </c>
      <c r="B45" s="441"/>
      <c r="C45" s="441"/>
      <c r="D45" s="441"/>
      <c r="E45" s="441"/>
      <c r="F45" s="441"/>
      <c r="G45" s="92">
        <v>35</v>
      </c>
      <c r="H45" s="124"/>
      <c r="I45" s="94">
        <v>276813</v>
      </c>
      <c r="J45" s="94"/>
    </row>
    <row r="46" spans="1:10" s="2" customFormat="1" ht="13.5" customHeight="1">
      <c r="A46" s="403" t="s">
        <v>2430</v>
      </c>
      <c r="B46" s="403"/>
      <c r="C46" s="403"/>
      <c r="D46" s="403"/>
      <c r="E46" s="403"/>
      <c r="F46" s="403"/>
      <c r="G46" s="19">
        <v>36</v>
      </c>
      <c r="H46" s="23"/>
      <c r="I46" s="77"/>
      <c r="J46" s="77"/>
    </row>
    <row r="47" spans="1:10" s="2" customFormat="1" ht="13.5" customHeight="1">
      <c r="A47" s="403" t="s">
        <v>2431</v>
      </c>
      <c r="B47" s="403"/>
      <c r="C47" s="403"/>
      <c r="D47" s="403"/>
      <c r="E47" s="403"/>
      <c r="F47" s="403"/>
      <c r="G47" s="19">
        <v>37</v>
      </c>
      <c r="H47" s="23"/>
      <c r="I47" s="77">
        <v>29726078</v>
      </c>
      <c r="J47" s="77">
        <f>41927630+1716399</f>
        <v>43644029</v>
      </c>
    </row>
    <row r="48" spans="1:10" s="2" customFormat="1" ht="13.5" customHeight="1">
      <c r="A48" s="403" t="s">
        <v>2432</v>
      </c>
      <c r="B48" s="403"/>
      <c r="C48" s="403"/>
      <c r="D48" s="403"/>
      <c r="E48" s="403"/>
      <c r="F48" s="403"/>
      <c r="G48" s="19">
        <v>38</v>
      </c>
      <c r="H48" s="23"/>
      <c r="I48" s="77">
        <v>757015</v>
      </c>
      <c r="J48" s="77"/>
    </row>
    <row r="49" spans="1:10" s="2" customFormat="1" ht="13.5" customHeight="1">
      <c r="A49" s="406" t="s">
        <v>2521</v>
      </c>
      <c r="B49" s="406"/>
      <c r="C49" s="406"/>
      <c r="D49" s="406"/>
      <c r="E49" s="406"/>
      <c r="F49" s="406"/>
      <c r="G49" s="19">
        <v>39</v>
      </c>
      <c r="H49" s="23"/>
      <c r="I49" s="86">
        <f>SUM(I45:I48)</f>
        <v>30759906</v>
      </c>
      <c r="J49" s="86">
        <f>SUM(J45:J48)</f>
        <v>43644029</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2911</v>
      </c>
      <c r="B54" s="403"/>
      <c r="C54" s="403"/>
      <c r="D54" s="403"/>
      <c r="E54" s="403"/>
      <c r="F54" s="403"/>
      <c r="G54" s="19">
        <v>44</v>
      </c>
      <c r="H54" s="23"/>
      <c r="I54" s="77"/>
      <c r="J54" s="77"/>
    </row>
    <row r="55" spans="1:10" s="2" customFormat="1" ht="13.5" customHeight="1">
      <c r="A55" s="406" t="s">
        <v>2912</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30759906</v>
      </c>
      <c r="J56" s="86">
        <f>J49+J55</f>
        <v>43644029</v>
      </c>
    </row>
    <row r="57" spans="1:10" s="2" customFormat="1" ht="13.5" customHeight="1">
      <c r="A57" s="383" t="s">
        <v>2427</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2614849</v>
      </c>
      <c r="J58" s="86">
        <f>J28+J43+J56+J57</f>
        <v>-1258223</v>
      </c>
    </row>
    <row r="59" spans="1:10" s="2" customFormat="1" ht="13.5" customHeight="1">
      <c r="A59" s="405" t="s">
        <v>2428</v>
      </c>
      <c r="B59" s="405"/>
      <c r="C59" s="405"/>
      <c r="D59" s="405"/>
      <c r="E59" s="405"/>
      <c r="F59" s="405"/>
      <c r="G59" s="19">
        <v>49</v>
      </c>
      <c r="H59" s="23"/>
      <c r="I59" s="77">
        <v>1295844</v>
      </c>
      <c r="J59" s="77">
        <v>3910692</v>
      </c>
    </row>
    <row r="60" spans="1:18" s="2" customFormat="1" ht="13.5" customHeight="1">
      <c r="A60" s="449" t="s">
        <v>1734</v>
      </c>
      <c r="B60" s="449"/>
      <c r="C60" s="449"/>
      <c r="D60" s="449"/>
      <c r="E60" s="449"/>
      <c r="F60" s="449"/>
      <c r="G60" s="21">
        <v>50</v>
      </c>
      <c r="H60" s="24"/>
      <c r="I60" s="87">
        <f>I59+I58</f>
        <v>3910693</v>
      </c>
      <c r="J60" s="87">
        <f>J59+J58</f>
        <v>2652469</v>
      </c>
      <c r="Q60" s="82"/>
      <c r="R60" s="82"/>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2594</v>
      </c>
      <c r="Q2" s="74">
        <f>IF(OR(MIN(I8:I52)&lt;0,MAX(I8:I52)&gt;0),1,0)</f>
        <v>0</v>
      </c>
      <c r="R2" s="73" t="s">
        <v>2585</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56994999963; JADRAN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2526</v>
      </c>
      <c r="B9" s="441"/>
      <c r="C9" s="441"/>
      <c r="D9" s="441"/>
      <c r="E9" s="441"/>
      <c r="F9" s="441"/>
      <c r="G9" s="92">
        <v>1</v>
      </c>
      <c r="H9" s="124"/>
      <c r="I9" s="94"/>
      <c r="J9" s="94"/>
    </row>
    <row r="10" spans="1:10" s="2" customFormat="1" ht="13.5" customHeight="1">
      <c r="A10" s="403" t="s">
        <v>2527</v>
      </c>
      <c r="B10" s="403"/>
      <c r="C10" s="403"/>
      <c r="D10" s="403"/>
      <c r="E10" s="403"/>
      <c r="F10" s="403"/>
      <c r="G10" s="19">
        <v>2</v>
      </c>
      <c r="H10" s="23"/>
      <c r="I10" s="77"/>
      <c r="J10" s="77"/>
    </row>
    <row r="11" spans="1:10" s="2" customFormat="1" ht="13.5" customHeight="1">
      <c r="A11" s="403" t="s">
        <v>2528</v>
      </c>
      <c r="B11" s="403"/>
      <c r="C11" s="403"/>
      <c r="D11" s="403"/>
      <c r="E11" s="403"/>
      <c r="F11" s="403"/>
      <c r="G11" s="19">
        <v>3</v>
      </c>
      <c r="H11" s="23"/>
      <c r="I11" s="77"/>
      <c r="J11" s="77"/>
    </row>
    <row r="12" spans="1:10" s="2" customFormat="1" ht="13.5" customHeight="1">
      <c r="A12" s="403" t="s">
        <v>2529</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2524</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2525</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2426</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2428</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AE64"/>
  <sheetViews>
    <sheetView showGridLines="0" showRowColHeaders="0" zoomScale="90" zoomScaleNormal="90" zoomScalePageLayoutView="0" workbookViewId="0" topLeftCell="A1">
      <pane ySplit="1" topLeftCell="A23" activePane="bottomLeft" state="frozen"/>
      <selection pane="topLeft" activeCell="A1" sqref="A1"/>
      <selection pane="bottomLeft" activeCell="T39" sqref="T39"/>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1</v>
      </c>
      <c r="AB1" s="134" t="s">
        <v>539</v>
      </c>
    </row>
    <row r="2" spans="1:28" s="3" customFormat="1" ht="19.5" customHeight="1">
      <c r="A2" s="481" t="s">
        <v>1703</v>
      </c>
      <c r="B2" s="481"/>
      <c r="C2" s="481"/>
      <c r="D2" s="481"/>
      <c r="E2" s="481"/>
      <c r="F2" s="481"/>
      <c r="G2" s="482"/>
      <c r="H2" s="482"/>
      <c r="I2" s="135"/>
      <c r="J2" s="135"/>
      <c r="K2" s="135"/>
      <c r="L2" s="135"/>
      <c r="M2" s="135"/>
      <c r="N2" s="135"/>
      <c r="O2" s="136"/>
      <c r="P2" s="388" t="s">
        <v>2595</v>
      </c>
      <c r="Q2" s="470"/>
      <c r="R2" s="470"/>
      <c r="S2" s="470"/>
      <c r="T2" s="470"/>
      <c r="U2" s="470"/>
      <c r="V2" s="470"/>
      <c r="W2" s="471"/>
      <c r="X2" s="388" t="s">
        <v>2595</v>
      </c>
      <c r="AA2" s="3">
        <f>IF(OR(MAX(H10:X32)&lt;&gt;0,MIN(H10:X32)&lt;&gt;0),1,0)</f>
        <v>1</v>
      </c>
      <c r="AB2" s="3" t="s">
        <v>2597</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56994999963; JADRAN D.D.</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2893</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2598</v>
      </c>
      <c r="X6" s="485" t="s">
        <v>781</v>
      </c>
      <c r="AA6" s="3">
        <f>IF(OR(MAX(W38:W60)&lt;&gt;0,MIN(W38:W60)&lt;&gt;0),1,0)</f>
        <v>0</v>
      </c>
      <c r="AB6" s="16" t="s">
        <v>404</v>
      </c>
    </row>
    <row r="7" spans="1:28" s="3" customFormat="1" ht="51"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1</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v>490774660</v>
      </c>
      <c r="J10" s="25">
        <v>25356374</v>
      </c>
      <c r="K10" s="25"/>
      <c r="L10" s="25"/>
      <c r="M10" s="25"/>
      <c r="N10" s="25"/>
      <c r="O10" s="25"/>
      <c r="P10" s="25"/>
      <c r="Q10" s="25"/>
      <c r="R10" s="25"/>
      <c r="S10" s="25"/>
      <c r="T10" s="25">
        <v>5411086</v>
      </c>
      <c r="U10" s="25">
        <v>2650612</v>
      </c>
      <c r="V10" s="207">
        <f>SUM(I10:L10)-M10+SUM(N10:U10)</f>
        <v>524192732</v>
      </c>
      <c r="W10" s="25"/>
      <c r="X10" s="207">
        <f>W10+V10</f>
        <v>524192732</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490774660</v>
      </c>
      <c r="J13" s="207">
        <f aca="true" t="shared" si="2" ref="J13:U13">SUM(J10:J12)</f>
        <v>25356374</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5411086</v>
      </c>
      <c r="U13" s="207">
        <f t="shared" si="2"/>
        <v>2650612</v>
      </c>
      <c r="V13" s="207">
        <f t="shared" si="0"/>
        <v>524192732</v>
      </c>
      <c r="W13" s="207">
        <f>SUM(W10:W12)</f>
        <v>0</v>
      </c>
      <c r="X13" s="207">
        <f t="shared" si="1"/>
        <v>524192732</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v>3834617</v>
      </c>
      <c r="V14" s="207">
        <f t="shared" si="0"/>
        <v>3834617</v>
      </c>
      <c r="W14" s="25"/>
      <c r="X14" s="207">
        <f t="shared" si="1"/>
        <v>3834617</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v>-378249</v>
      </c>
      <c r="U21" s="25"/>
      <c r="V21" s="207">
        <f t="shared" si="0"/>
        <v>-378249</v>
      </c>
      <c r="W21" s="25"/>
      <c r="X21" s="207">
        <f t="shared" si="1"/>
        <v>-378249</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v>68084</v>
      </c>
      <c r="U22" s="25"/>
      <c r="V22" s="207">
        <f t="shared" si="0"/>
        <v>68084</v>
      </c>
      <c r="W22" s="25"/>
      <c r="X22" s="207">
        <f t="shared" si="1"/>
        <v>68084</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v>542030</v>
      </c>
      <c r="J24" s="25">
        <v>44948</v>
      </c>
      <c r="K24" s="25"/>
      <c r="L24" s="25"/>
      <c r="M24" s="25"/>
      <c r="N24" s="25"/>
      <c r="O24" s="25"/>
      <c r="P24" s="25"/>
      <c r="Q24" s="25"/>
      <c r="R24" s="25"/>
      <c r="S24" s="25"/>
      <c r="T24" s="25"/>
      <c r="U24" s="25"/>
      <c r="V24" s="207">
        <f t="shared" si="0"/>
        <v>586978</v>
      </c>
      <c r="W24" s="25"/>
      <c r="X24" s="207">
        <f t="shared" si="1"/>
        <v>586978</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v>2650612</v>
      </c>
      <c r="U29" s="25">
        <v>-2650612</v>
      </c>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2561</v>
      </c>
      <c r="B32" s="459"/>
      <c r="C32" s="459"/>
      <c r="D32" s="459"/>
      <c r="E32" s="459"/>
      <c r="F32" s="459"/>
      <c r="G32" s="205">
        <v>23</v>
      </c>
      <c r="H32" s="133"/>
      <c r="I32" s="206">
        <f>SUM(I13:I31)</f>
        <v>491316690</v>
      </c>
      <c r="J32" s="206">
        <f aca="true" t="shared" si="3" ref="J32:U32">SUM(J13:J31)</f>
        <v>25401322</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7751533</v>
      </c>
      <c r="U32" s="206">
        <f t="shared" si="3"/>
        <v>3834617</v>
      </c>
      <c r="V32" s="206">
        <f t="shared" si="0"/>
        <v>528304162</v>
      </c>
      <c r="W32" s="206">
        <f>SUM(W13:W31)</f>
        <v>0</v>
      </c>
      <c r="X32" s="206">
        <f t="shared" si="1"/>
        <v>528304162</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2557</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-310165</v>
      </c>
      <c r="U34" s="207">
        <f t="shared" si="5"/>
        <v>0</v>
      </c>
      <c r="V34" s="207">
        <f t="shared" si="5"/>
        <v>-310165</v>
      </c>
      <c r="W34" s="207">
        <f t="shared" si="5"/>
        <v>0</v>
      </c>
      <c r="X34" s="207">
        <f t="shared" si="5"/>
        <v>-310165</v>
      </c>
    </row>
    <row r="35" spans="1:29" s="3" customFormat="1" ht="25.5" customHeight="1">
      <c r="A35" s="460" t="s">
        <v>2558</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-310165</v>
      </c>
      <c r="U35" s="207">
        <f t="shared" si="7"/>
        <v>3834617</v>
      </c>
      <c r="V35" s="207">
        <f t="shared" si="7"/>
        <v>3524452</v>
      </c>
      <c r="W35" s="207">
        <f t="shared" si="7"/>
        <v>0</v>
      </c>
      <c r="X35" s="207">
        <f t="shared" si="7"/>
        <v>3524452</v>
      </c>
      <c r="AB35" s="139"/>
      <c r="AC35" s="134"/>
    </row>
    <row r="36" spans="1:29" s="3" customFormat="1" ht="25.5" customHeight="1">
      <c r="A36" s="457" t="s">
        <v>2562</v>
      </c>
      <c r="B36" s="457"/>
      <c r="C36" s="457"/>
      <c r="D36" s="457"/>
      <c r="E36" s="457"/>
      <c r="F36" s="457"/>
      <c r="G36" s="205">
        <v>26</v>
      </c>
      <c r="H36" s="133"/>
      <c r="I36" s="206">
        <f aca="true" t="shared" si="8" ref="I36:N36">SUM(I24:I31)</f>
        <v>542030</v>
      </c>
      <c r="J36" s="206">
        <f t="shared" si="8"/>
        <v>44948</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2650612</v>
      </c>
      <c r="U36" s="206">
        <f t="shared" si="9"/>
        <v>-2650612</v>
      </c>
      <c r="V36" s="206">
        <f t="shared" si="9"/>
        <v>586978</v>
      </c>
      <c r="W36" s="206">
        <f t="shared" si="9"/>
        <v>0</v>
      </c>
      <c r="X36" s="206">
        <f t="shared" si="9"/>
        <v>586978</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v>491316690</v>
      </c>
      <c r="J38" s="25">
        <v>25401322</v>
      </c>
      <c r="K38" s="25"/>
      <c r="L38" s="25"/>
      <c r="M38" s="25"/>
      <c r="N38" s="25"/>
      <c r="O38" s="25"/>
      <c r="P38" s="25"/>
      <c r="Q38" s="25"/>
      <c r="R38" s="25"/>
      <c r="S38" s="25"/>
      <c r="T38" s="25">
        <v>7751533</v>
      </c>
      <c r="U38" s="25">
        <v>3834617</v>
      </c>
      <c r="V38" s="207">
        <f aca="true" t="shared" si="10" ref="V38:V60">SUM(I38:L38)-M38+SUM(N38:U38)</f>
        <v>528304162</v>
      </c>
      <c r="W38" s="25"/>
      <c r="X38" s="207">
        <f t="shared" si="1"/>
        <v>528304162</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491316690</v>
      </c>
      <c r="J41" s="207">
        <f t="shared" si="11"/>
        <v>25401322</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7751533</v>
      </c>
      <c r="U41" s="207">
        <f t="shared" si="11"/>
        <v>3834617</v>
      </c>
      <c r="V41" s="207">
        <f t="shared" si="10"/>
        <v>528304162</v>
      </c>
      <c r="W41" s="207">
        <f>SUM(W38:W40)</f>
        <v>0</v>
      </c>
      <c r="X41" s="207">
        <f>W41+V41</f>
        <v>528304162</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v>-4230650</v>
      </c>
      <c r="V42" s="207">
        <f t="shared" si="10"/>
        <v>-4230650</v>
      </c>
      <c r="W42" s="25"/>
      <c r="X42" s="207">
        <f t="shared" si="1"/>
        <v>-4230650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v>3834617</v>
      </c>
      <c r="U57" s="25">
        <v>-3834617</v>
      </c>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491316690</v>
      </c>
      <c r="J60" s="206">
        <f t="shared" si="12"/>
        <v>25401322</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11586150</v>
      </c>
      <c r="U60" s="206">
        <f t="shared" si="12"/>
        <v>-4230650</v>
      </c>
      <c r="V60" s="206">
        <f t="shared" si="10"/>
        <v>524073512</v>
      </c>
      <c r="W60" s="206">
        <f>SUM(W41:W59)</f>
        <v>0</v>
      </c>
      <c r="X60" s="206">
        <f t="shared" si="1"/>
        <v>524073512</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2559</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2243</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-4230650</v>
      </c>
      <c r="V63" s="207">
        <f t="shared" si="16"/>
        <v>-4230650</v>
      </c>
      <c r="W63" s="207">
        <f t="shared" si="16"/>
        <v>0</v>
      </c>
      <c r="X63" s="207">
        <f t="shared" si="16"/>
        <v>-4230650</v>
      </c>
      <c r="AB63" s="139"/>
    </row>
    <row r="64" spans="1:28" ht="25.5" customHeight="1">
      <c r="A64" s="457" t="s">
        <v>2560</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3834617</v>
      </c>
      <c r="U64" s="206">
        <f t="shared" si="18"/>
        <v>-3834617</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1968503937007874" right="0.1968503937007874" top="0.1968503937007874" bottom="0.1968503937007874" header="0.1968503937007874" footer="0.1968503937007874"/>
  <pageSetup fitToWidth="2" fitToHeight="1" horizontalDpi="1200" verticalDpi="1200" orientation="landscape" paperSize="9" scale="44"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Dina Avdić</cp:lastModifiedBy>
  <cp:lastPrinted>2018-04-27T06:49:59Z</cp:lastPrinted>
  <dcterms:created xsi:type="dcterms:W3CDTF">2008-10-17T11:51:54Z</dcterms:created>
  <dcterms:modified xsi:type="dcterms:W3CDTF">2023-05-15T10:18:56Z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